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Flsv\1702000_カーボンニュートラル推進課\004【大】グリーンライフ推進グループ\003【中】いしかわ事業者版／工場施設版環境ＩＳＯ\2025(R7)\001【簿】いしかわ事業者版環境ISO(R12末)\51_R7事業者版ISOガイドライン改訂(12補)\03校正作業\02申請書様式2\260220以降\"/>
    </mc:Choice>
  </mc:AlternateContent>
  <xr:revisionPtr revIDLastSave="0" documentId="13_ncr:1_{633EB1C5-3B6E-4614-8EE1-3BD757C8E2A6}" xr6:coauthVersionLast="47" xr6:coauthVersionMax="47" xr10:uidLastSave="{00000000-0000-0000-0000-000000000000}"/>
  <bookViews>
    <workbookView xWindow="-28920" yWindow="-120" windowWidth="29040" windowHeight="15720" tabRatio="806" xr2:uid="{F671A039-78A5-4FA2-A078-1391EFBF851D}"/>
  </bookViews>
  <sheets>
    <sheet name="実績表1" sheetId="3" r:id="rId1"/>
    <sheet name="実績表2" sheetId="1" r:id="rId2"/>
    <sheet name="実績表３・４" sheetId="35" r:id="rId3"/>
    <sheet name="実績表5" sheetId="36" r:id="rId4"/>
    <sheet name="【自動】可視化シート" sheetId="28" r:id="rId5"/>
    <sheet name="チェック表(事業者版)" sheetId="37" r:id="rId6"/>
    <sheet name="チェック表(工場･施設版)" sheetId="38" r:id="rId7"/>
    <sheet name="(参考)排出係数" sheetId="5" r:id="rId8"/>
    <sheet name="【これより右は必要に応じて活用】" sheetId="39" r:id="rId9"/>
    <sheet name="【結果】簡易診断シート" sheetId="18" r:id="rId10"/>
    <sheet name="【共通】事業所の光熱費" sheetId="8" r:id="rId11"/>
    <sheet name="設備ごとのシートの入力方法" sheetId="40" r:id="rId12"/>
    <sheet name="1)自動車" sheetId="9" r:id="rId13"/>
    <sheet name="2)照明" sheetId="4" r:id="rId14"/>
    <sheet name="3)空調(電気)" sheetId="7" r:id="rId15"/>
    <sheet name="4)空調(GHP)" sheetId="11" r:id="rId16"/>
    <sheet name="5)ボイラー・給湯器" sheetId="13" r:id="rId17"/>
    <sheet name="6)モーター" sheetId="16" r:id="rId18"/>
    <sheet name="7)変圧器" sheetId="17" r:id="rId19"/>
    <sheet name="8)冷凍庫・冷蔵庫" sheetId="12" r:id="rId20"/>
    <sheet name="9)太陽光" sheetId="21" r:id="rId21"/>
    <sheet name="10)小水力" sheetId="34" r:id="rId22"/>
    <sheet name="11)蓄電池" sheetId="20" r:id="rId23"/>
    <sheet name="12)その他産業設備(燃料)" sheetId="25" r:id="rId24"/>
    <sheet name="13)その他産業設備(電気)" sheetId="26" r:id="rId25"/>
    <sheet name="(参考)モーター効率" sheetId="15" state="hidden" r:id="rId26"/>
  </sheets>
  <definedNames>
    <definedName name="_Fill" localSheetId="18" hidden="1">#REF!</definedName>
    <definedName name="_Fill" hidden="1">#REF!</definedName>
    <definedName name="haishutukeisuu" localSheetId="25" hidden="1">{"'第２表'!$W$27:$AA$68"}</definedName>
    <definedName name="haishutukeisuu" localSheetId="4" hidden="1">{"'第２表'!$W$27:$AA$68"}</definedName>
    <definedName name="haishutukeisuu" localSheetId="21" hidden="1">{"'第２表'!$W$27:$AA$68"}</definedName>
    <definedName name="haishutukeisuu" localSheetId="16" hidden="1">{"'第２表'!$W$27:$AA$68"}</definedName>
    <definedName name="haishutukeisuu" localSheetId="17" hidden="1">{"'第２表'!$W$27:$AA$68"}</definedName>
    <definedName name="haishutukeisuu" localSheetId="18" hidden="1">{"'第２表'!$W$27:$AA$68"}</definedName>
    <definedName name="haishutukeisuu" localSheetId="11" hidden="1">{"'第２表'!$W$27:$AA$68"}</definedName>
    <definedName name="haishutukeisuu" hidden="1">{"'第２表'!$W$27:$AA$68"}</definedName>
    <definedName name="HTML_CodePage" hidden="1">932</definedName>
    <definedName name="HTML_Control" localSheetId="25" hidden="1">{"'第２表'!$W$27:$AA$68"}</definedName>
    <definedName name="HTML_Control" localSheetId="4" hidden="1">{"'第２表'!$W$27:$AA$68"}</definedName>
    <definedName name="HTML_Control" localSheetId="21" hidden="1">{"'第２表'!$W$27:$AA$68"}</definedName>
    <definedName name="HTML_Control" localSheetId="16" hidden="1">{"'第２表'!$W$27:$AA$68"}</definedName>
    <definedName name="HTML_Control" localSheetId="17" hidden="1">{"'第２表'!$W$27:$AA$68"}</definedName>
    <definedName name="HTML_Control" localSheetId="18" hidden="1">{"'第２表'!$W$27:$AA$68"}</definedName>
    <definedName name="HTML_Control" localSheetId="11"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lpu" localSheetId="25" hidden="1">{"'第２表'!$W$27:$AA$68"}</definedName>
    <definedName name="lpu" localSheetId="4" hidden="1">{"'第２表'!$W$27:$AA$68"}</definedName>
    <definedName name="lpu" localSheetId="21" hidden="1">{"'第２表'!$W$27:$AA$68"}</definedName>
    <definedName name="lpu" localSheetId="16" hidden="1">{"'第２表'!$W$27:$AA$68"}</definedName>
    <definedName name="lpu" localSheetId="17" hidden="1">{"'第２表'!$W$27:$AA$68"}</definedName>
    <definedName name="lpu" localSheetId="18" hidden="1">{"'第２表'!$W$27:$AA$68"}</definedName>
    <definedName name="lpu" localSheetId="11" hidden="1">{"'第２表'!$W$27:$AA$68"}</definedName>
    <definedName name="lpu" hidden="1">{"'第２表'!$W$27:$AA$68"}</definedName>
    <definedName name="pps推移" localSheetId="25" hidden="1">{"'第２表'!$W$27:$AA$68"}</definedName>
    <definedName name="pps推移" localSheetId="4" hidden="1">{"'第２表'!$W$27:$AA$68"}</definedName>
    <definedName name="pps推移" localSheetId="21" hidden="1">{"'第２表'!$W$27:$AA$68"}</definedName>
    <definedName name="pps推移" localSheetId="16" hidden="1">{"'第２表'!$W$27:$AA$68"}</definedName>
    <definedName name="pps推移" localSheetId="17" hidden="1">{"'第２表'!$W$27:$AA$68"}</definedName>
    <definedName name="pps推移" localSheetId="18" hidden="1">{"'第２表'!$W$27:$AA$68"}</definedName>
    <definedName name="pps推移" localSheetId="11" hidden="1">{"'第２表'!$W$27:$AA$68"}</definedName>
    <definedName name="pps推移" hidden="1">{"'第２表'!$W$27:$AA$68"}</definedName>
    <definedName name="_xlnm.Print_Area" localSheetId="9">【結果】簡易診断シート!$A$1:$H$101</definedName>
    <definedName name="_xlnm.Print_Area" localSheetId="4">【自動】可視化シート!$A$1:$AF$63</definedName>
    <definedName name="_xlnm.Print_Area" localSheetId="12">'1)自動車'!$A$1:$U$43</definedName>
    <definedName name="_xlnm.Print_Area" localSheetId="21">'10)小水力'!$A$1:$T$35</definedName>
    <definedName name="_xlnm.Print_Area" localSheetId="23">'12)その他産業設備(燃料)'!$A$1:$AI$27</definedName>
    <definedName name="_xlnm.Print_Area" localSheetId="24">'13)その他産業設備(電気)'!$A$1:$AE$49</definedName>
    <definedName name="_xlnm.Print_Area" localSheetId="13">'2)照明'!$A$1:$V$35</definedName>
    <definedName name="_xlnm.Print_Area" localSheetId="14">'3)空調(電気)'!$A$1:$AD$37</definedName>
    <definedName name="_xlnm.Print_Area" localSheetId="15">'4)空調(GHP)'!$A$1:$AK$39</definedName>
    <definedName name="_xlnm.Print_Area" localSheetId="16">'5)ボイラー・給湯器'!$A$1:$AN$36</definedName>
    <definedName name="_xlnm.Print_Area" localSheetId="17">'6)モーター'!$A$1:$AH$36</definedName>
    <definedName name="_xlnm.Print_Area" localSheetId="18">'7)変圧器'!$A$1:$V$35</definedName>
    <definedName name="_xlnm.Print_Area" localSheetId="19">'8)冷凍庫・冷蔵庫'!$A$1:$T$26</definedName>
    <definedName name="_xlnm.Print_Area" localSheetId="20">'9)太陽光'!$A$1:$U$33</definedName>
    <definedName name="_xlnm.Print_Area" localSheetId="6">'チェック表(工場･施設版)'!$A$1:$I$134</definedName>
    <definedName name="_xlnm.Print_Area" localSheetId="5">'チェック表(事業者版)'!$A$1:$I$109</definedName>
    <definedName name="_xlnm.Print_Area" localSheetId="0">実績表1!$A$1:$I$19</definedName>
    <definedName name="_xlnm.Print_Area" localSheetId="1">実績表2!$B$8:$Q$48</definedName>
    <definedName name="_xlnm.Print_Area" localSheetId="2">実績表３・４!$A$1:$J$39</definedName>
    <definedName name="_xlnm.Print_Area" localSheetId="3">実績表5!$A$1:$H$26</definedName>
    <definedName name="rangeIE1">'(参考)モーター効率'!$B$2:$B$32</definedName>
    <definedName name="rangeIE2">'(参考)モーター効率'!$B$33:$B$63</definedName>
    <definedName name="rangeIE3">'(参考)モーター効率'!$B$64:$B$94</definedName>
    <definedName name="rangeIE4">'(参考)モーター効率'!$B$95:$B$122</definedName>
    <definedName name="コンプレッサー">'13)その他産業設備(電気)'!$AI$2:$AJ$2</definedName>
    <definedName name="乾燥機">'13)その他産業設備(電気)'!$AI$3:$AJ$3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8" l="1"/>
  <c r="J21" i="9"/>
  <c r="J22" i="9"/>
  <c r="J23" i="9"/>
  <c r="J24" i="9"/>
  <c r="J25" i="9"/>
  <c r="J26" i="9"/>
  <c r="J27" i="9"/>
  <c r="J28" i="9"/>
  <c r="J29" i="9"/>
  <c r="J30" i="9"/>
  <c r="J31" i="9"/>
  <c r="J32" i="9"/>
  <c r="J33" i="9"/>
  <c r="J34" i="9"/>
  <c r="J35" i="9"/>
  <c r="J36" i="9"/>
  <c r="J37" i="9"/>
  <c r="J38" i="9"/>
  <c r="J39" i="9"/>
  <c r="J20" i="9"/>
  <c r="E10" i="1"/>
  <c r="K20" i="1"/>
  <c r="I18" i="8" l="1"/>
  <c r="H18" i="8"/>
  <c r="F4" i="8"/>
  <c r="E4" i="8"/>
  <c r="E56" i="1"/>
  <c r="M17" i="13" l="1"/>
  <c r="M18" i="13"/>
  <c r="F24" i="11"/>
  <c r="T24" i="11" s="1"/>
  <c r="E7" i="35"/>
  <c r="T18" i="11"/>
  <c r="AJ18" i="11" s="1"/>
  <c r="AG18" i="11"/>
  <c r="I14" i="17"/>
  <c r="AD15" i="13"/>
  <c r="T39" i="11"/>
  <c r="T38" i="11"/>
  <c r="T37" i="11"/>
  <c r="T36" i="11"/>
  <c r="T35" i="11"/>
  <c r="T34" i="11"/>
  <c r="T33" i="11"/>
  <c r="T32" i="11"/>
  <c r="T31" i="11"/>
  <c r="T30" i="11"/>
  <c r="T29" i="11"/>
  <c r="T28" i="11"/>
  <c r="T27" i="11"/>
  <c r="T26" i="11"/>
  <c r="T25" i="11"/>
  <c r="T23" i="11"/>
  <c r="T22" i="11"/>
  <c r="P31" i="8"/>
  <c r="D11" i="8" s="1"/>
  <c r="H20" i="35"/>
  <c r="I20" i="35"/>
  <c r="G20" i="35"/>
  <c r="E20" i="35"/>
  <c r="D20" i="35"/>
  <c r="I5" i="35"/>
  <c r="H5" i="35"/>
  <c r="G5" i="35"/>
  <c r="E5" i="35"/>
  <c r="D5" i="35"/>
  <c r="G21" i="1"/>
  <c r="H21" i="1"/>
  <c r="I21" i="1"/>
  <c r="J21" i="1"/>
  <c r="K21" i="1"/>
  <c r="L21" i="1"/>
  <c r="M21" i="1"/>
  <c r="N21" i="1"/>
  <c r="O21" i="1"/>
  <c r="P21" i="1"/>
  <c r="P27" i="9"/>
  <c r="P28" i="9"/>
  <c r="P29" i="9"/>
  <c r="P30" i="9"/>
  <c r="P31" i="9"/>
  <c r="P32" i="9"/>
  <c r="P33" i="9"/>
  <c r="P34" i="9"/>
  <c r="P35" i="9"/>
  <c r="P36" i="9"/>
  <c r="P37" i="9"/>
  <c r="P38" i="9"/>
  <c r="P39" i="9"/>
  <c r="P21" i="9"/>
  <c r="P22" i="9"/>
  <c r="P23" i="9"/>
  <c r="P24" i="9"/>
  <c r="P25" i="9"/>
  <c r="P26" i="9"/>
  <c r="E16" i="3" l="1"/>
  <c r="AR17" i="13" l="1"/>
  <c r="H17" i="13" s="1"/>
  <c r="M15" i="13"/>
  <c r="AI126" i="40"/>
  <c r="AE126" i="40"/>
  <c r="U126" i="40"/>
  <c r="N126" i="40"/>
  <c r="E11" i="1" l="1"/>
  <c r="D30" i="8" l="1"/>
  <c r="O30" i="8" s="1"/>
  <c r="AK13" i="1"/>
  <c r="AO13" i="1"/>
  <c r="AS13" i="1"/>
  <c r="AM8" i="1"/>
  <c r="AQ8" i="1"/>
  <c r="AP13" i="1"/>
  <c r="AN8" i="1"/>
  <c r="AK8" i="1"/>
  <c r="AS8" i="1"/>
  <c r="AL13" i="1"/>
  <c r="AM13" i="1"/>
  <c r="AN13" i="1"/>
  <c r="AR13" i="1"/>
  <c r="AL8" i="1"/>
  <c r="AP8" i="1"/>
  <c r="AT8" i="1"/>
  <c r="AT13" i="1"/>
  <c r="AR8" i="1"/>
  <c r="AQ13" i="1"/>
  <c r="AO8" i="1"/>
  <c r="D19" i="8"/>
  <c r="F30" i="8"/>
  <c r="E30" i="8"/>
  <c r="K30" i="8"/>
  <c r="J30" i="8"/>
  <c r="N30" i="8"/>
  <c r="L30" i="8"/>
  <c r="G11" i="1"/>
  <c r="K11" i="1"/>
  <c r="O11" i="1"/>
  <c r="M11" i="1"/>
  <c r="J11" i="1"/>
  <c r="N11" i="1"/>
  <c r="H11" i="1"/>
  <c r="L11" i="1"/>
  <c r="P11" i="1"/>
  <c r="D31" i="1" s="1"/>
  <c r="I11" i="1"/>
  <c r="AF27" i="25"/>
  <c r="AD27" i="25"/>
  <c r="AC27" i="25"/>
  <c r="AF26" i="25"/>
  <c r="AD26" i="25"/>
  <c r="AC26" i="25"/>
  <c r="AF25" i="25"/>
  <c r="AD25" i="25"/>
  <c r="AC25" i="25"/>
  <c r="AF24" i="25"/>
  <c r="AD24" i="25"/>
  <c r="AC24" i="25"/>
  <c r="AF23" i="25"/>
  <c r="AD23" i="25"/>
  <c r="AC23" i="25"/>
  <c r="AF22" i="25"/>
  <c r="AD22" i="25"/>
  <c r="AC22" i="25"/>
  <c r="AF21" i="25"/>
  <c r="AD21" i="25"/>
  <c r="AC21" i="25"/>
  <c r="AF20" i="25"/>
  <c r="AD20" i="25"/>
  <c r="AC20" i="25"/>
  <c r="AF19" i="25"/>
  <c r="AD19" i="25"/>
  <c r="AC19" i="25"/>
  <c r="AC16" i="25"/>
  <c r="AF16" i="25" s="1"/>
  <c r="AF15" i="25"/>
  <c r="AC15" i="25"/>
  <c r="O15" i="25"/>
  <c r="P25" i="8"/>
  <c r="F11" i="8" s="1"/>
  <c r="H11" i="8" s="1"/>
  <c r="X27" i="25"/>
  <c r="Y27" i="25" s="1" a="1"/>
  <c r="Y27" i="25" s="1"/>
  <c r="V27" i="25"/>
  <c r="U27" i="25"/>
  <c r="T27" i="25"/>
  <c r="X26" i="25"/>
  <c r="Y26" i="25" s="1" a="1"/>
  <c r="Y26" i="25" s="1"/>
  <c r="V26" i="25"/>
  <c r="U26" i="25"/>
  <c r="T26" i="25"/>
  <c r="X25" i="25"/>
  <c r="Y25" i="25" s="1" a="1"/>
  <c r="Y25" i="25" s="1"/>
  <c r="V25" i="25"/>
  <c r="U25" i="25"/>
  <c r="T25" i="25"/>
  <c r="X24" i="25"/>
  <c r="Y24" i="25" s="1" a="1"/>
  <c r="Y24" i="25" s="1"/>
  <c r="V24" i="25"/>
  <c r="U24" i="25"/>
  <c r="T24" i="25"/>
  <c r="X23" i="25"/>
  <c r="Y23" i="25" s="1" a="1"/>
  <c r="Y23" i="25" s="1"/>
  <c r="V23" i="25"/>
  <c r="U23" i="25"/>
  <c r="T23" i="25"/>
  <c r="X22" i="25"/>
  <c r="Y22" i="25" s="1" a="1"/>
  <c r="Y22" i="25" s="1"/>
  <c r="V22" i="25"/>
  <c r="U22" i="25"/>
  <c r="T22" i="25"/>
  <c r="X21" i="25"/>
  <c r="Y21" i="25" s="1" a="1"/>
  <c r="Y21" i="25" s="1"/>
  <c r="V21" i="25"/>
  <c r="U21" i="25"/>
  <c r="T21" i="25"/>
  <c r="X20" i="25"/>
  <c r="Y20" i="25" s="1" a="1"/>
  <c r="Y20" i="25" s="1"/>
  <c r="V20" i="25"/>
  <c r="U20" i="25"/>
  <c r="T20" i="25"/>
  <c r="T19" i="25"/>
  <c r="V19" i="25" s="1"/>
  <c r="X18" i="25"/>
  <c r="Y18" i="25" s="1" a="1"/>
  <c r="Y18" i="25" s="1"/>
  <c r="X16" i="25"/>
  <c r="Y16" i="25" s="1" a="1"/>
  <c r="Y16" i="25" s="1"/>
  <c r="X15" i="25"/>
  <c r="Y15" i="25" s="1" a="1"/>
  <c r="Y15" i="25" s="1"/>
  <c r="I30" i="8" l="1"/>
  <c r="H30" i="8"/>
  <c r="G30" i="8"/>
  <c r="M30" i="8"/>
  <c r="AE27" i="25"/>
  <c r="AE21" i="25"/>
  <c r="AE25" i="25"/>
  <c r="AE20" i="25"/>
  <c r="AE22" i="25"/>
  <c r="AE23" i="25"/>
  <c r="AE26" i="25"/>
  <c r="AE19" i="25"/>
  <c r="AE24" i="25"/>
  <c r="AA18" i="25" a="1"/>
  <c r="AA18" i="25" s="1"/>
  <c r="AA25" i="25" a="1"/>
  <c r="AA25" i="25" s="1"/>
  <c r="AG25" i="25" s="1"/>
  <c r="AA22" i="25" a="1"/>
  <c r="AA22" i="25" s="1"/>
  <c r="AG22" i="25" s="1"/>
  <c r="AA24" i="25" a="1"/>
  <c r="AA24" i="25" s="1"/>
  <c r="AG24" i="25" s="1"/>
  <c r="AA20" i="25" a="1"/>
  <c r="AA20" i="25" s="1"/>
  <c r="AG20" i="25" s="1"/>
  <c r="AA26" i="25" a="1"/>
  <c r="AA26" i="25" s="1"/>
  <c r="AG26" i="25" s="1"/>
  <c r="AA23" i="25" a="1"/>
  <c r="AA23" i="25" s="1"/>
  <c r="AG23" i="25" s="1"/>
  <c r="AA21" i="25" a="1"/>
  <c r="AA21" i="25" s="1"/>
  <c r="AG21" i="25" s="1"/>
  <c r="AA27" i="25" a="1"/>
  <c r="AA27" i="25" s="1"/>
  <c r="AG27" i="25" s="1"/>
  <c r="AA16" i="25" a="1"/>
  <c r="AA16" i="25" s="1"/>
  <c r="AA15" i="25" a="1"/>
  <c r="AA15" i="25" s="1"/>
  <c r="AG15" i="25" s="1"/>
  <c r="AH15" i="25" s="1"/>
  <c r="N18" i="21" l="1"/>
  <c r="I17" i="34"/>
  <c r="J17" i="34" s="1"/>
  <c r="I17" i="21" l="1"/>
  <c r="I16" i="20" l="1"/>
  <c r="J16" i="20" s="1"/>
  <c r="I14" i="20"/>
  <c r="J14" i="20" s="1"/>
  <c r="I18" i="21"/>
  <c r="Q16" i="17" l="1"/>
  <c r="I14" i="34"/>
  <c r="I16" i="34"/>
  <c r="J16" i="34" l="1"/>
  <c r="I15" i="34"/>
  <c r="AY36" i="13"/>
  <c r="AY35" i="13"/>
  <c r="AY34" i="13"/>
  <c r="AY33" i="13"/>
  <c r="AY32" i="13"/>
  <c r="AY31" i="13"/>
  <c r="AY30" i="13"/>
  <c r="AY29" i="13"/>
  <c r="AY28" i="13"/>
  <c r="AY27" i="13"/>
  <c r="AY26" i="13"/>
  <c r="AY25" i="13"/>
  <c r="AY24" i="13"/>
  <c r="AY23" i="13"/>
  <c r="AY22" i="13"/>
  <c r="AY21" i="13"/>
  <c r="AY20" i="13"/>
  <c r="AY19" i="13"/>
  <c r="AY18" i="13"/>
  <c r="AS36" i="13"/>
  <c r="AS35" i="13"/>
  <c r="AS34" i="13"/>
  <c r="AS33" i="13"/>
  <c r="AS32" i="13"/>
  <c r="AS31" i="13"/>
  <c r="AS30" i="13"/>
  <c r="AS29" i="13"/>
  <c r="AS28" i="13"/>
  <c r="AS27" i="13"/>
  <c r="AS26" i="13"/>
  <c r="AS25" i="13"/>
  <c r="AS24" i="13"/>
  <c r="AS23" i="13"/>
  <c r="AS22" i="13"/>
  <c r="AS21" i="13"/>
  <c r="AS20" i="13"/>
  <c r="AS19" i="13"/>
  <c r="AS18" i="13"/>
  <c r="N6" i="34" l="1"/>
  <c r="N7" i="34"/>
  <c r="J15" i="34"/>
  <c r="N5" i="34" s="1"/>
  <c r="E10" i="11"/>
  <c r="N9" i="34" l="1"/>
  <c r="N10" i="34" s="1"/>
  <c r="E9" i="36"/>
  <c r="E11" i="36" s="1"/>
  <c r="C12" i="35"/>
  <c r="N19" i="34" l="1"/>
  <c r="N11" i="34"/>
  <c r="E10" i="36"/>
  <c r="N12" i="34"/>
  <c r="G16" i="36"/>
  <c r="G23" i="36" s="1"/>
  <c r="E16" i="36"/>
  <c r="E23" i="36" s="1"/>
  <c r="E18" i="36"/>
  <c r="G20" i="36"/>
  <c r="E20" i="36"/>
  <c r="G18" i="36"/>
  <c r="G9" i="36"/>
  <c r="G14" i="35"/>
  <c r="H35" i="35"/>
  <c r="G35" i="35"/>
  <c r="D35" i="35"/>
  <c r="C35" i="35"/>
  <c r="I34" i="35"/>
  <c r="J34" i="35" s="1"/>
  <c r="E34" i="35"/>
  <c r="F34" i="35" s="1"/>
  <c r="I33" i="35"/>
  <c r="J33" i="35" s="1"/>
  <c r="E33" i="35"/>
  <c r="F33" i="35" s="1"/>
  <c r="I32" i="35"/>
  <c r="J32" i="35" s="1"/>
  <c r="E32" i="35"/>
  <c r="F32" i="35" s="1"/>
  <c r="I31" i="35"/>
  <c r="J31" i="35" s="1"/>
  <c r="E31" i="35"/>
  <c r="F31" i="35" s="1"/>
  <c r="H30" i="35"/>
  <c r="G30" i="35"/>
  <c r="D30" i="35"/>
  <c r="C30" i="35"/>
  <c r="I29" i="35"/>
  <c r="J29" i="35" s="1"/>
  <c r="E29" i="35"/>
  <c r="F29" i="35" s="1"/>
  <c r="I28" i="35"/>
  <c r="J28" i="35" s="1"/>
  <c r="E28" i="35"/>
  <c r="F28" i="35" s="1"/>
  <c r="I27" i="35"/>
  <c r="J27" i="35" s="1"/>
  <c r="E27" i="35"/>
  <c r="F27" i="35" s="1"/>
  <c r="I26" i="35"/>
  <c r="J26" i="35" s="1"/>
  <c r="E26" i="35"/>
  <c r="F26" i="35" s="1"/>
  <c r="I25" i="35"/>
  <c r="J25" i="35" s="1"/>
  <c r="E25" i="35"/>
  <c r="F25" i="35" s="1"/>
  <c r="I24" i="35"/>
  <c r="J24" i="35" s="1"/>
  <c r="E24" i="35"/>
  <c r="F24" i="35" s="1"/>
  <c r="I23" i="35"/>
  <c r="J23" i="35" s="1"/>
  <c r="E23" i="35"/>
  <c r="F23" i="35" s="1"/>
  <c r="I22" i="35"/>
  <c r="J22" i="35" s="1"/>
  <c r="E22" i="35"/>
  <c r="F22" i="35" s="1"/>
  <c r="I21" i="35"/>
  <c r="J21" i="35" s="1"/>
  <c r="E21" i="35"/>
  <c r="F21" i="35" s="1"/>
  <c r="H12" i="35"/>
  <c r="H13" i="35" s="1"/>
  <c r="G12" i="35"/>
  <c r="G13" i="35" s="1"/>
  <c r="D12" i="35"/>
  <c r="D14" i="35" s="1"/>
  <c r="C13" i="35"/>
  <c r="I11" i="35"/>
  <c r="J11" i="35" s="1"/>
  <c r="F11" i="35"/>
  <c r="E11" i="35"/>
  <c r="I10" i="35"/>
  <c r="J10" i="35" s="1"/>
  <c r="F10" i="35"/>
  <c r="E10" i="35"/>
  <c r="I9" i="35"/>
  <c r="J9" i="35" s="1"/>
  <c r="F9" i="35"/>
  <c r="E9" i="35"/>
  <c r="I8" i="35"/>
  <c r="J8" i="35" s="1"/>
  <c r="F8" i="35"/>
  <c r="E8" i="35"/>
  <c r="I7" i="35"/>
  <c r="J7" i="35" s="1"/>
  <c r="F7" i="35"/>
  <c r="I6" i="35"/>
  <c r="J6" i="35" s="1"/>
  <c r="E6" i="35"/>
  <c r="F6" i="35" s="1"/>
  <c r="G25" i="36" l="1"/>
  <c r="G24" i="36"/>
  <c r="E24" i="36"/>
  <c r="E25" i="36"/>
  <c r="G10" i="36"/>
  <c r="G11" i="36"/>
  <c r="N15" i="34"/>
  <c r="N17" i="34" s="1"/>
  <c r="N14" i="34"/>
  <c r="N16" i="34" s="1"/>
  <c r="C14" i="35"/>
  <c r="H14" i="35"/>
  <c r="D13" i="35"/>
  <c r="H36" i="35"/>
  <c r="D36" i="35"/>
  <c r="I12" i="35"/>
  <c r="E12" i="35"/>
  <c r="C36" i="35"/>
  <c r="G36" i="35"/>
  <c r="E30" i="35"/>
  <c r="F30" i="35" s="1"/>
  <c r="I30" i="35"/>
  <c r="J30" i="35" s="1"/>
  <c r="E35" i="35"/>
  <c r="F35" i="35" s="1"/>
  <c r="I35" i="35"/>
  <c r="J35" i="35" s="1"/>
  <c r="G38" i="35" l="1"/>
  <c r="G37" i="35"/>
  <c r="H37" i="35"/>
  <c r="H38" i="35"/>
  <c r="C38" i="35"/>
  <c r="C37" i="35"/>
  <c r="D37" i="35"/>
  <c r="D38" i="35"/>
  <c r="I14" i="35"/>
  <c r="I13" i="35"/>
  <c r="F12" i="35"/>
  <c r="E13" i="35"/>
  <c r="E14" i="35"/>
  <c r="J12" i="35"/>
  <c r="I36" i="35"/>
  <c r="E36" i="35"/>
  <c r="J36" i="35" l="1"/>
  <c r="I38" i="35"/>
  <c r="I37" i="35"/>
  <c r="E38" i="35"/>
  <c r="E37" i="35"/>
  <c r="F36" i="35"/>
  <c r="P44" i="1" l="1"/>
  <c r="P43" i="1"/>
  <c r="I44" i="1"/>
  <c r="I43" i="1"/>
  <c r="L44" i="1"/>
  <c r="L43" i="1"/>
  <c r="E44" i="1"/>
  <c r="E43" i="1"/>
  <c r="Q14" i="16"/>
  <c r="P16" i="16"/>
  <c r="P35" i="16"/>
  <c r="P34" i="16"/>
  <c r="P33" i="16"/>
  <c r="P32" i="16"/>
  <c r="P31" i="16"/>
  <c r="P30" i="16"/>
  <c r="P29" i="16"/>
  <c r="P28" i="16"/>
  <c r="P27" i="16"/>
  <c r="P26" i="16"/>
  <c r="P25" i="16"/>
  <c r="P24" i="16"/>
  <c r="P23" i="16"/>
  <c r="P22" i="16"/>
  <c r="P21" i="16"/>
  <c r="P20" i="16"/>
  <c r="P19" i="16"/>
  <c r="P18" i="16"/>
  <c r="P17" i="16"/>
  <c r="P14" i="16"/>
  <c r="F18" i="12" l="1"/>
  <c r="V35" i="17"/>
  <c r="V34" i="17"/>
  <c r="V33" i="17"/>
  <c r="V32" i="17"/>
  <c r="V31" i="17"/>
  <c r="V30" i="17"/>
  <c r="V29" i="17"/>
  <c r="V28" i="17"/>
  <c r="V27" i="17"/>
  <c r="V26" i="17"/>
  <c r="V25" i="17"/>
  <c r="V24" i="17"/>
  <c r="V23" i="17"/>
  <c r="V22" i="17"/>
  <c r="V21" i="17"/>
  <c r="V20" i="17"/>
  <c r="V19" i="17"/>
  <c r="V14" i="17"/>
  <c r="U35" i="17"/>
  <c r="U34" i="17"/>
  <c r="U33" i="17"/>
  <c r="U32" i="17"/>
  <c r="U31" i="17"/>
  <c r="U30" i="17"/>
  <c r="U29" i="17"/>
  <c r="U28" i="17"/>
  <c r="U27" i="17"/>
  <c r="U26" i="17"/>
  <c r="U25" i="17"/>
  <c r="U24" i="17"/>
  <c r="U23" i="17"/>
  <c r="U22" i="17"/>
  <c r="U21" i="17"/>
  <c r="U20" i="17"/>
  <c r="U19" i="17"/>
  <c r="U14" i="17"/>
  <c r="T35" i="17"/>
  <c r="T34" i="17"/>
  <c r="T33" i="17"/>
  <c r="T32" i="17"/>
  <c r="T31" i="17"/>
  <c r="T30" i="17"/>
  <c r="T29" i="17"/>
  <c r="T28" i="17"/>
  <c r="T27" i="17"/>
  <c r="T26" i="17"/>
  <c r="T25" i="17"/>
  <c r="T24" i="17"/>
  <c r="T23" i="17"/>
  <c r="T22" i="17"/>
  <c r="T21" i="17"/>
  <c r="T20" i="17"/>
  <c r="T19" i="17"/>
  <c r="T14" i="17"/>
  <c r="S14" i="17"/>
  <c r="S35" i="17"/>
  <c r="S34" i="17"/>
  <c r="S33" i="17"/>
  <c r="S32" i="17"/>
  <c r="S31" i="17"/>
  <c r="S30" i="17"/>
  <c r="S29" i="17"/>
  <c r="S28" i="17"/>
  <c r="S27" i="17"/>
  <c r="S26" i="17"/>
  <c r="S25" i="17"/>
  <c r="S24" i="17"/>
  <c r="S23" i="17"/>
  <c r="S22" i="17"/>
  <c r="S21" i="17"/>
  <c r="S20" i="17"/>
  <c r="S19" i="17"/>
  <c r="K35" i="17"/>
  <c r="K34" i="17"/>
  <c r="K33" i="17"/>
  <c r="K32" i="17"/>
  <c r="K31" i="17"/>
  <c r="K30" i="17"/>
  <c r="K29" i="17"/>
  <c r="K28" i="17"/>
  <c r="K27" i="17"/>
  <c r="K26" i="17"/>
  <c r="K25" i="17"/>
  <c r="K24" i="17"/>
  <c r="K23" i="17"/>
  <c r="K22" i="17"/>
  <c r="K21" i="17"/>
  <c r="K20" i="17"/>
  <c r="K19" i="17"/>
  <c r="K17" i="17"/>
  <c r="K14" i="17"/>
  <c r="J35" i="17"/>
  <c r="J34" i="17"/>
  <c r="J33" i="17"/>
  <c r="J32" i="17"/>
  <c r="J31" i="17"/>
  <c r="J30" i="17"/>
  <c r="J29" i="17"/>
  <c r="J28" i="17"/>
  <c r="J27" i="17"/>
  <c r="J26" i="17"/>
  <c r="J25" i="17"/>
  <c r="J24" i="17"/>
  <c r="J23" i="17"/>
  <c r="J22" i="17"/>
  <c r="J21" i="17"/>
  <c r="J20" i="17"/>
  <c r="J19" i="17"/>
  <c r="J18" i="17"/>
  <c r="J17" i="17"/>
  <c r="J14" i="17"/>
  <c r="K18" i="17" l="1"/>
  <c r="H35" i="17"/>
  <c r="H34" i="17"/>
  <c r="H33" i="17"/>
  <c r="H32" i="17"/>
  <c r="H31" i="17"/>
  <c r="H30" i="17"/>
  <c r="H29" i="17"/>
  <c r="H28" i="17"/>
  <c r="H27" i="17"/>
  <c r="H26" i="17"/>
  <c r="H25" i="17"/>
  <c r="H24" i="17"/>
  <c r="H23" i="17"/>
  <c r="H22" i="17"/>
  <c r="H21" i="17"/>
  <c r="H20" i="17"/>
  <c r="H19" i="17"/>
  <c r="H18" i="17"/>
  <c r="H17" i="17"/>
  <c r="H16" i="17"/>
  <c r="J16" i="17" s="1"/>
  <c r="K16" i="17" s="1"/>
  <c r="K15" i="17" s="1"/>
  <c r="F5" i="17" s="1"/>
  <c r="H14" i="17"/>
  <c r="J17" i="13"/>
  <c r="Q21" i="9"/>
  <c r="T15" i="25"/>
  <c r="U15" i="25" s="1"/>
  <c r="S18" i="26"/>
  <c r="S19" i="26"/>
  <c r="S20" i="26"/>
  <c r="S21" i="26"/>
  <c r="S22" i="26"/>
  <c r="S23" i="26"/>
  <c r="S24" i="26"/>
  <c r="S25" i="26"/>
  <c r="S26" i="26"/>
  <c r="Y18" i="26"/>
  <c r="Z18" i="26" s="1"/>
  <c r="Y19" i="26"/>
  <c r="Z19" i="26" s="1"/>
  <c r="Y20" i="26"/>
  <c r="Z20" i="26" s="1"/>
  <c r="Y21" i="26"/>
  <c r="Z21" i="26" s="1"/>
  <c r="Y22" i="26"/>
  <c r="Z22" i="26" s="1"/>
  <c r="Y23" i="26"/>
  <c r="Z23" i="26" s="1"/>
  <c r="AB23" i="26" s="1" a="1"/>
  <c r="AB23" i="26" s="1"/>
  <c r="Y24" i="26"/>
  <c r="Z24" i="26" s="1"/>
  <c r="AB24" i="26" s="1" a="1"/>
  <c r="AB24" i="26" s="1"/>
  <c r="Y25" i="26"/>
  <c r="Z25" i="26" s="1"/>
  <c r="AB25" i="26" s="1" a="1"/>
  <c r="AB25" i="26" s="1"/>
  <c r="Y26" i="26"/>
  <c r="Z26" i="26" s="1"/>
  <c r="AB26" i="26" s="1" a="1"/>
  <c r="AB26" i="26" s="1"/>
  <c r="I27" i="25"/>
  <c r="I26" i="25"/>
  <c r="I25" i="25"/>
  <c r="I24" i="25"/>
  <c r="I23" i="25"/>
  <c r="I22" i="25"/>
  <c r="I21" i="25"/>
  <c r="I20" i="25"/>
  <c r="I19" i="25"/>
  <c r="I18" i="25"/>
  <c r="T18" i="25" s="1"/>
  <c r="I16" i="25"/>
  <c r="T16" i="25" s="1"/>
  <c r="I15" i="25"/>
  <c r="J14" i="34"/>
  <c r="J15" i="17" l="1"/>
  <c r="V16" i="25"/>
  <c r="V18" i="25"/>
  <c r="L18" i="25"/>
  <c r="T17" i="25"/>
  <c r="V15" i="25"/>
  <c r="K15" i="25"/>
  <c r="L15" i="25"/>
  <c r="AB19" i="26" a="1"/>
  <c r="AB19" i="26" s="1"/>
  <c r="AB18" i="26" a="1"/>
  <c r="AB18" i="26" s="1"/>
  <c r="AB22" i="26" a="1"/>
  <c r="AB22" i="26" s="1"/>
  <c r="AB21" i="26" a="1"/>
  <c r="AB21" i="26" s="1"/>
  <c r="AB20" i="26" a="1"/>
  <c r="AB20" i="26" s="1"/>
  <c r="O18" i="25" l="1"/>
  <c r="AC18" i="25"/>
  <c r="V17" i="25"/>
  <c r="AC17" i="25" l="1"/>
  <c r="AF18" i="25"/>
  <c r="AF17" i="25" l="1"/>
  <c r="AG18" i="25"/>
  <c r="AH18" i="25" s="1"/>
  <c r="F4" i="34"/>
  <c r="G4" i="34" s="1"/>
  <c r="F7" i="34" l="1"/>
  <c r="G7" i="34" s="1"/>
  <c r="F79" i="18" s="1"/>
  <c r="E76" i="18"/>
  <c r="F5" i="34"/>
  <c r="E79" i="18"/>
  <c r="F76" i="18"/>
  <c r="K16" i="7"/>
  <c r="E77" i="18" l="1"/>
  <c r="G5" i="34"/>
  <c r="F77" i="18" s="1"/>
  <c r="H15" i="26"/>
  <c r="J15" i="26" s="1"/>
  <c r="Y15" i="26" s="1"/>
  <c r="Z15" i="26" s="1"/>
  <c r="I17" i="20"/>
  <c r="I18" i="20"/>
  <c r="I19" i="20"/>
  <c r="J19" i="20" s="1"/>
  <c r="I20" i="20"/>
  <c r="J20" i="20" s="1"/>
  <c r="I21" i="20"/>
  <c r="J21" i="20" s="1"/>
  <c r="I22" i="20"/>
  <c r="J22" i="20" s="1"/>
  <c r="I23" i="20"/>
  <c r="J23" i="20" s="1"/>
  <c r="I24" i="20"/>
  <c r="J24" i="20" s="1"/>
  <c r="I25" i="20"/>
  <c r="J25" i="20" s="1"/>
  <c r="I15" i="20" l="1"/>
  <c r="F4" i="20"/>
  <c r="J18" i="20"/>
  <c r="J17" i="20"/>
  <c r="AB15" i="26" a="1"/>
  <c r="AB15" i="26" s="1"/>
  <c r="M15" i="26"/>
  <c r="AH18" i="13"/>
  <c r="AH19" i="13"/>
  <c r="AH20" i="13"/>
  <c r="AH21" i="13"/>
  <c r="AH22" i="13"/>
  <c r="AH23" i="13"/>
  <c r="AH24" i="13"/>
  <c r="AH25" i="13"/>
  <c r="AH26" i="13"/>
  <c r="AH27" i="13"/>
  <c r="AH28" i="13"/>
  <c r="AH29" i="13"/>
  <c r="AH30" i="13"/>
  <c r="AH31" i="13"/>
  <c r="AH32" i="13"/>
  <c r="AH33" i="13"/>
  <c r="AH34" i="13"/>
  <c r="AH35" i="13"/>
  <c r="AH36" i="13"/>
  <c r="AH17" i="13"/>
  <c r="AH15" i="13"/>
  <c r="U19" i="13"/>
  <c r="U20" i="13"/>
  <c r="U21" i="13"/>
  <c r="U22" i="13"/>
  <c r="U23" i="13"/>
  <c r="U24" i="13"/>
  <c r="U25" i="13"/>
  <c r="U26" i="13"/>
  <c r="U27" i="13"/>
  <c r="U28" i="13"/>
  <c r="U29" i="13"/>
  <c r="U30" i="13"/>
  <c r="U31" i="13"/>
  <c r="U32" i="13"/>
  <c r="U33" i="13"/>
  <c r="U34" i="13"/>
  <c r="U35" i="13"/>
  <c r="U36" i="13"/>
  <c r="U15" i="13"/>
  <c r="R18" i="13"/>
  <c r="U18" i="13" s="1"/>
  <c r="R19" i="13"/>
  <c r="R20" i="13"/>
  <c r="R21" i="13"/>
  <c r="R22" i="13"/>
  <c r="R23" i="13"/>
  <c r="R24" i="13"/>
  <c r="R25" i="13"/>
  <c r="R26" i="13"/>
  <c r="R27" i="13"/>
  <c r="R28" i="13"/>
  <c r="R29" i="13"/>
  <c r="R30" i="13"/>
  <c r="R31" i="13"/>
  <c r="R32" i="13"/>
  <c r="R33" i="13"/>
  <c r="R34" i="13"/>
  <c r="R35" i="13"/>
  <c r="R36" i="13"/>
  <c r="R17" i="13"/>
  <c r="R15" i="13"/>
  <c r="I15" i="13"/>
  <c r="I18" i="13"/>
  <c r="I17" i="13"/>
  <c r="I19" i="13"/>
  <c r="I20" i="13"/>
  <c r="I21" i="13"/>
  <c r="I22" i="13"/>
  <c r="I23" i="13"/>
  <c r="I24" i="13"/>
  <c r="I25" i="13"/>
  <c r="I26" i="13"/>
  <c r="I27" i="13"/>
  <c r="I28" i="13"/>
  <c r="I29" i="13"/>
  <c r="I30" i="13"/>
  <c r="I31" i="13"/>
  <c r="I32" i="13"/>
  <c r="I33" i="13"/>
  <c r="I34" i="13"/>
  <c r="I35" i="13"/>
  <c r="I36" i="13"/>
  <c r="J18" i="13"/>
  <c r="J19" i="13"/>
  <c r="J20" i="13"/>
  <c r="J21" i="13"/>
  <c r="J22" i="13"/>
  <c r="J23" i="13"/>
  <c r="J24" i="13"/>
  <c r="J25" i="13"/>
  <c r="J26" i="13"/>
  <c r="J27" i="13"/>
  <c r="J28" i="13"/>
  <c r="J29" i="13"/>
  <c r="J30" i="13"/>
  <c r="J31" i="13"/>
  <c r="J32" i="13"/>
  <c r="J33" i="13"/>
  <c r="J34" i="13"/>
  <c r="J35" i="13"/>
  <c r="J36" i="13"/>
  <c r="J15" i="13"/>
  <c r="AD19" i="11"/>
  <c r="Z19" i="11"/>
  <c r="AC19" i="11" a="1"/>
  <c r="AC19" i="11" s="1"/>
  <c r="Q16" i="7"/>
  <c r="R16" i="7" s="1"/>
  <c r="P16" i="7"/>
  <c r="F16" i="7"/>
  <c r="V17" i="4"/>
  <c r="V18" i="4"/>
  <c r="V19" i="4"/>
  <c r="V22" i="4"/>
  <c r="V23" i="4"/>
  <c r="V24" i="4"/>
  <c r="V25" i="4"/>
  <c r="V26" i="4"/>
  <c r="V27" i="4"/>
  <c r="V28" i="4"/>
  <c r="V29" i="4"/>
  <c r="V30" i="4"/>
  <c r="V31" i="4"/>
  <c r="V32" i="4"/>
  <c r="V33" i="4"/>
  <c r="V34" i="4"/>
  <c r="V35" i="4"/>
  <c r="U17" i="4"/>
  <c r="U18" i="4"/>
  <c r="U19" i="4"/>
  <c r="U22" i="4"/>
  <c r="U23" i="4"/>
  <c r="U24" i="4"/>
  <c r="U25" i="4"/>
  <c r="U26" i="4"/>
  <c r="U27" i="4"/>
  <c r="U28" i="4"/>
  <c r="U29" i="4"/>
  <c r="U30" i="4"/>
  <c r="U31" i="4"/>
  <c r="U32" i="4"/>
  <c r="U33" i="4"/>
  <c r="U34" i="4"/>
  <c r="U35" i="4"/>
  <c r="T17" i="4"/>
  <c r="T18" i="4"/>
  <c r="T19" i="4"/>
  <c r="T22" i="4"/>
  <c r="T23" i="4"/>
  <c r="T24" i="4"/>
  <c r="T25" i="4"/>
  <c r="T26" i="4"/>
  <c r="T27" i="4"/>
  <c r="T28" i="4"/>
  <c r="T29" i="4"/>
  <c r="T30" i="4"/>
  <c r="T31" i="4"/>
  <c r="T32" i="4"/>
  <c r="T33" i="4"/>
  <c r="T34" i="4"/>
  <c r="T35" i="4"/>
  <c r="S17" i="4"/>
  <c r="S18" i="4"/>
  <c r="S19" i="4"/>
  <c r="S22" i="4"/>
  <c r="S23" i="4"/>
  <c r="S24" i="4"/>
  <c r="S25" i="4"/>
  <c r="S26" i="4"/>
  <c r="S27" i="4"/>
  <c r="S28" i="4"/>
  <c r="S29" i="4"/>
  <c r="S30" i="4"/>
  <c r="S31" i="4"/>
  <c r="S32" i="4"/>
  <c r="S33" i="4"/>
  <c r="S34" i="4"/>
  <c r="S35" i="4"/>
  <c r="L17" i="4"/>
  <c r="L18" i="4"/>
  <c r="L19" i="4"/>
  <c r="L20" i="4"/>
  <c r="L22" i="4"/>
  <c r="L23" i="4"/>
  <c r="L24" i="4"/>
  <c r="L25" i="4"/>
  <c r="L26" i="4"/>
  <c r="L27" i="4"/>
  <c r="L28" i="4"/>
  <c r="L29" i="4"/>
  <c r="L30" i="4"/>
  <c r="L31" i="4"/>
  <c r="L32" i="4"/>
  <c r="L33" i="4"/>
  <c r="L34" i="4"/>
  <c r="L35" i="4"/>
  <c r="L14" i="4"/>
  <c r="K14" i="4"/>
  <c r="K18" i="4"/>
  <c r="K19" i="4"/>
  <c r="K20" i="4"/>
  <c r="K22" i="4"/>
  <c r="K23" i="4"/>
  <c r="K24" i="4"/>
  <c r="K25" i="4"/>
  <c r="K26" i="4"/>
  <c r="K27" i="4"/>
  <c r="K28" i="4"/>
  <c r="K29" i="4"/>
  <c r="K30" i="4"/>
  <c r="K31" i="4"/>
  <c r="K32" i="4"/>
  <c r="K33" i="4"/>
  <c r="K34" i="4"/>
  <c r="K35" i="4"/>
  <c r="K17" i="4"/>
  <c r="J17" i="4"/>
  <c r="J18" i="4"/>
  <c r="J19" i="4"/>
  <c r="J20" i="4"/>
  <c r="J21" i="4"/>
  <c r="K21" i="4" s="1"/>
  <c r="J22" i="4"/>
  <c r="J23" i="4"/>
  <c r="J24" i="4"/>
  <c r="J25" i="4"/>
  <c r="J26" i="4"/>
  <c r="J27" i="4"/>
  <c r="J28" i="4"/>
  <c r="J29" i="4"/>
  <c r="J30" i="4"/>
  <c r="J31" i="4"/>
  <c r="J32" i="4"/>
  <c r="J33" i="4"/>
  <c r="J34" i="4"/>
  <c r="J35" i="4"/>
  <c r="J16" i="4"/>
  <c r="K16" i="4" s="1"/>
  <c r="J14" i="4"/>
  <c r="L21" i="4" l="1"/>
  <c r="E83" i="18"/>
  <c r="G4" i="20"/>
  <c r="F83" i="18" s="1"/>
  <c r="K15" i="4"/>
  <c r="F4" i="4" s="1"/>
  <c r="L16" i="4"/>
  <c r="U17" i="13"/>
  <c r="F7" i="20"/>
  <c r="E86" i="18" l="1"/>
  <c r="G7" i="20"/>
  <c r="F86" i="18" s="1"/>
  <c r="AI33" i="28"/>
  <c r="AI32" i="28"/>
  <c r="AI28" i="28"/>
  <c r="AI27" i="28"/>
  <c r="AI23" i="28"/>
  <c r="AI22" i="28"/>
  <c r="AJ31" i="28"/>
  <c r="AK31" i="28" s="1"/>
  <c r="AL31" i="28" s="1"/>
  <c r="AM31" i="28" s="1"/>
  <c r="AN31" i="28" s="1"/>
  <c r="AO31" i="28" s="1"/>
  <c r="AP31" i="28" s="1"/>
  <c r="AQ31" i="28" s="1"/>
  <c r="AR31" i="28" s="1"/>
  <c r="AS31" i="28" s="1"/>
  <c r="AT31" i="28" s="1"/>
  <c r="AU31" i="28" s="1"/>
  <c r="AJ26" i="28"/>
  <c r="AK26" i="28" s="1"/>
  <c r="AL26" i="28" s="1"/>
  <c r="AM26" i="28" s="1"/>
  <c r="AN26" i="28" s="1"/>
  <c r="AO26" i="28" s="1"/>
  <c r="AP26" i="28" s="1"/>
  <c r="AQ26" i="28" s="1"/>
  <c r="AR26" i="28" s="1"/>
  <c r="AS26" i="28" s="1"/>
  <c r="AT26" i="28" s="1"/>
  <c r="AU26" i="28" s="1"/>
  <c r="AJ21" i="28"/>
  <c r="AK21" i="28" s="1"/>
  <c r="AL21" i="28" s="1"/>
  <c r="AM21" i="28" s="1"/>
  <c r="AN21" i="28" s="1"/>
  <c r="AO21" i="28" s="1"/>
  <c r="AP21" i="28" s="1"/>
  <c r="AQ21" i="28" s="1"/>
  <c r="AR21" i="28" s="1"/>
  <c r="AS21" i="28" s="1"/>
  <c r="AT21" i="28" s="1"/>
  <c r="AU21" i="28" s="1"/>
  <c r="B11" i="28"/>
  <c r="B20" i="28"/>
  <c r="B35" i="28"/>
  <c r="AJ13" i="1" l="1"/>
  <c r="AJ8" i="1"/>
  <c r="F11" i="1"/>
  <c r="AI8" i="1"/>
  <c r="AI13" i="1" s="1"/>
  <c r="F5" i="28"/>
  <c r="AJ13" i="28" s="1"/>
  <c r="B5" i="28"/>
  <c r="AI17" i="28" s="1"/>
  <c r="E10" i="28"/>
  <c r="G10" i="28" s="1"/>
  <c r="E67" i="1"/>
  <c r="P67" i="1" s="1"/>
  <c r="E54" i="1"/>
  <c r="G54" i="1" s="1"/>
  <c r="AI49" i="28"/>
  <c r="AI55" i="28"/>
  <c r="F19" i="8" l="1"/>
  <c r="I19" i="8"/>
  <c r="K19" i="8"/>
  <c r="M19" i="8"/>
  <c r="O19" i="8"/>
  <c r="G19" i="8"/>
  <c r="H19" i="8"/>
  <c r="J19" i="8"/>
  <c r="L19" i="8"/>
  <c r="N19" i="8"/>
  <c r="E19" i="8"/>
  <c r="AI5" i="28"/>
  <c r="AI9" i="28"/>
  <c r="AJ9" i="28"/>
  <c r="AJ5" i="28"/>
  <c r="AI13" i="28"/>
  <c r="AJ17" i="28"/>
  <c r="P54" i="1"/>
  <c r="K31" i="1" s="1"/>
  <c r="L54" i="1"/>
  <c r="N54" i="1"/>
  <c r="I54" i="1"/>
  <c r="J54" i="1"/>
  <c r="K54" i="1"/>
  <c r="M54" i="1"/>
  <c r="O54" i="1"/>
  <c r="AI37" i="28"/>
  <c r="H54" i="1"/>
  <c r="F10" i="28"/>
  <c r="F54" i="1"/>
  <c r="M10" i="28"/>
  <c r="G67" i="1"/>
  <c r="H67" i="1"/>
  <c r="I67" i="1"/>
  <c r="O10" i="28"/>
  <c r="K10" i="28"/>
  <c r="O67" i="1"/>
  <c r="J10" i="28"/>
  <c r="J67" i="1"/>
  <c r="N10" i="28"/>
  <c r="L67" i="1"/>
  <c r="M67" i="1"/>
  <c r="N67" i="1"/>
  <c r="I10" i="28"/>
  <c r="H10" i="28"/>
  <c r="F67" i="1"/>
  <c r="P10" i="28"/>
  <c r="K67" i="1"/>
  <c r="L10" i="28"/>
  <c r="F21" i="1"/>
  <c r="AI42" i="28"/>
  <c r="S15" i="26" l="1"/>
  <c r="U15" i="26" s="1"/>
  <c r="S17" i="26"/>
  <c r="U17" i="26" s="1"/>
  <c r="H26" i="26"/>
  <c r="H25" i="26"/>
  <c r="H24" i="26"/>
  <c r="H23" i="26"/>
  <c r="H22" i="26"/>
  <c r="H21" i="26"/>
  <c r="H20" i="26"/>
  <c r="H19" i="26"/>
  <c r="H18" i="26"/>
  <c r="H17" i="26"/>
  <c r="J17" i="26" s="1"/>
  <c r="Y17" i="26" s="1"/>
  <c r="W15" i="26" l="1"/>
  <c r="AC15" i="26" s="1" a="1"/>
  <c r="AC15" i="26" s="1"/>
  <c r="Y16" i="26"/>
  <c r="Z17" i="26"/>
  <c r="W17" i="26"/>
  <c r="AB17" i="26" l="1" a="1"/>
  <c r="AB17" i="26" s="1"/>
  <c r="AB16" i="26" s="1"/>
  <c r="Z16" i="26"/>
  <c r="L16" i="25" l="1"/>
  <c r="K16" i="25"/>
  <c r="I26" i="26"/>
  <c r="T26" i="26" s="1"/>
  <c r="U26" i="26" s="1"/>
  <c r="I25" i="26"/>
  <c r="T25" i="26" s="1"/>
  <c r="U25" i="26" s="1"/>
  <c r="I24" i="26"/>
  <c r="T24" i="26" s="1"/>
  <c r="U24" i="26" s="1"/>
  <c r="I23" i="26"/>
  <c r="T23" i="26" s="1"/>
  <c r="U23" i="26" s="1"/>
  <c r="I22" i="26"/>
  <c r="T22" i="26" s="1"/>
  <c r="U22" i="26" s="1"/>
  <c r="I21" i="26"/>
  <c r="T21" i="26" s="1"/>
  <c r="U21" i="26" s="1"/>
  <c r="I20" i="26"/>
  <c r="T20" i="26" s="1"/>
  <c r="U20" i="26" s="1"/>
  <c r="I19" i="26"/>
  <c r="T19" i="26" s="1"/>
  <c r="U19" i="26" s="1"/>
  <c r="I18" i="26"/>
  <c r="U18" i="26" s="1"/>
  <c r="AG16" i="25" l="1"/>
  <c r="W22" i="26"/>
  <c r="W25" i="26"/>
  <c r="W23" i="26"/>
  <c r="W18" i="26"/>
  <c r="W21" i="26"/>
  <c r="W24" i="26"/>
  <c r="W19" i="26"/>
  <c r="W26" i="26"/>
  <c r="W20" i="26"/>
  <c r="U16" i="26"/>
  <c r="W16" i="26" l="1"/>
  <c r="J26" i="26"/>
  <c r="M26" i="26" s="1"/>
  <c r="AC26" i="26" s="1" a="1"/>
  <c r="AC26" i="26" s="1"/>
  <c r="J25" i="26"/>
  <c r="M25" i="26" s="1"/>
  <c r="AC25" i="26" s="1" a="1"/>
  <c r="AC25" i="26" s="1"/>
  <c r="J24" i="26"/>
  <c r="M24" i="26" s="1"/>
  <c r="AC24" i="26" s="1" a="1"/>
  <c r="AC24" i="26" s="1"/>
  <c r="J23" i="26"/>
  <c r="M23" i="26" s="1"/>
  <c r="AC23" i="26" s="1" a="1"/>
  <c r="AC23" i="26" s="1"/>
  <c r="J22" i="26"/>
  <c r="M22" i="26" s="1"/>
  <c r="AC22" i="26" s="1" a="1"/>
  <c r="AC22" i="26" s="1"/>
  <c r="J21" i="26"/>
  <c r="M21" i="26" s="1"/>
  <c r="AC21" i="26" s="1" a="1"/>
  <c r="AC21" i="26" s="1"/>
  <c r="J20" i="26"/>
  <c r="K20" i="26" s="1"/>
  <c r="J19" i="26"/>
  <c r="K19" i="26" s="1"/>
  <c r="J18" i="26"/>
  <c r="K18" i="26" s="1"/>
  <c r="M17" i="26"/>
  <c r="AC17" i="26" s="1" a="1"/>
  <c r="AC17" i="26" s="1"/>
  <c r="M20" i="26" l="1"/>
  <c r="AC20" i="26" s="1" a="1"/>
  <c r="AC20" i="26" s="1"/>
  <c r="M19" i="26"/>
  <c r="AC19" i="26" s="1" a="1"/>
  <c r="AC19" i="26" s="1"/>
  <c r="K26" i="26"/>
  <c r="K24" i="26"/>
  <c r="K23" i="26"/>
  <c r="K22" i="26"/>
  <c r="K21" i="26"/>
  <c r="K25" i="26"/>
  <c r="M18" i="26"/>
  <c r="AC18" i="26" s="1" a="1"/>
  <c r="AC18" i="26" s="1"/>
  <c r="J16" i="26"/>
  <c r="AC16" i="26" l="1"/>
  <c r="G5" i="26" s="1"/>
  <c r="G7" i="26" s="1"/>
  <c r="E100" i="18" s="1"/>
  <c r="E98" i="18"/>
  <c r="M16" i="26"/>
  <c r="F5" i="26" s="1"/>
  <c r="H5" i="26" l="1"/>
  <c r="F7" i="26"/>
  <c r="D98" i="18"/>
  <c r="N26" i="26"/>
  <c r="N25" i="26"/>
  <c r="L25" i="26"/>
  <c r="N24" i="26"/>
  <c r="N23" i="26"/>
  <c r="N22" i="26"/>
  <c r="N21" i="26"/>
  <c r="N20" i="26"/>
  <c r="N19" i="26"/>
  <c r="N18" i="26"/>
  <c r="N15" i="26"/>
  <c r="D100" i="18" l="1"/>
  <c r="F98" i="18"/>
  <c r="G98" i="18" s="1"/>
  <c r="H7" i="26"/>
  <c r="F100" i="18" s="1"/>
  <c r="L23" i="26"/>
  <c r="L22" i="26"/>
  <c r="L19" i="26"/>
  <c r="L20" i="26"/>
  <c r="L24" i="26"/>
  <c r="L21" i="26"/>
  <c r="L26" i="26"/>
  <c r="I7" i="26" l="1"/>
  <c r="G100" i="18"/>
  <c r="I5" i="26"/>
  <c r="G16" i="21" l="1"/>
  <c r="F16" i="21"/>
  <c r="I21" i="21"/>
  <c r="J21" i="21" s="1"/>
  <c r="I20" i="21"/>
  <c r="J20" i="21" s="1"/>
  <c r="I19" i="21"/>
  <c r="I14" i="21"/>
  <c r="I15" i="21"/>
  <c r="H15" i="21"/>
  <c r="H17" i="21"/>
  <c r="H18" i="21"/>
  <c r="H19" i="21"/>
  <c r="H20" i="21"/>
  <c r="H21" i="21"/>
  <c r="H14" i="21"/>
  <c r="J19" i="21" l="1"/>
  <c r="I16" i="21"/>
  <c r="N13" i="21" s="1"/>
  <c r="N15" i="21" l="1"/>
  <c r="N16" i="21"/>
  <c r="Q24" i="9"/>
  <c r="Q15" i="9"/>
  <c r="I15" i="9"/>
  <c r="P15" i="9" s="1"/>
  <c r="I21" i="9"/>
  <c r="I22" i="9"/>
  <c r="I23" i="9"/>
  <c r="I24" i="9"/>
  <c r="I25" i="9"/>
  <c r="I26" i="9"/>
  <c r="I27" i="9"/>
  <c r="I28" i="9"/>
  <c r="I29" i="9"/>
  <c r="I30" i="9"/>
  <c r="I31" i="9"/>
  <c r="I32" i="9"/>
  <c r="I33" i="9"/>
  <c r="I34" i="9"/>
  <c r="I35" i="9"/>
  <c r="I36" i="9"/>
  <c r="I37" i="9"/>
  <c r="I38" i="9"/>
  <c r="I39" i="9"/>
  <c r="I20" i="9"/>
  <c r="P20" i="9" s="1"/>
  <c r="P19" i="9" s="1"/>
  <c r="I17" i="9"/>
  <c r="P15" i="17"/>
  <c r="O15" i="17"/>
  <c r="M15" i="17"/>
  <c r="G15" i="17"/>
  <c r="F15" i="17"/>
  <c r="D15" i="17"/>
  <c r="Q9" i="13" a="1"/>
  <c r="Q9" i="13" s="1"/>
  <c r="P9" i="13" a="1"/>
  <c r="P9" i="13" s="1"/>
  <c r="O9" i="13" a="1"/>
  <c r="O9" i="13" s="1"/>
  <c r="N9" i="13" a="1"/>
  <c r="N9" i="13" s="1"/>
  <c r="O19" i="11" a="1"/>
  <c r="O19" i="11" s="1"/>
  <c r="Y7" i="11"/>
  <c r="G10" i="11" s="1"/>
  <c r="Z6" i="11"/>
  <c r="Z5" i="11"/>
  <c r="Z4" i="11"/>
  <c r="F10" i="11"/>
  <c r="L20" i="11"/>
  <c r="R20" i="11"/>
  <c r="M19" i="11" a="1"/>
  <c r="M19" i="11" s="1"/>
  <c r="X19" i="11" a="1"/>
  <c r="X19" i="11" s="1"/>
  <c r="Y19" i="11" a="1"/>
  <c r="Y19" i="11" s="1"/>
  <c r="N19" i="11" a="1"/>
  <c r="N19" i="11" s="1"/>
  <c r="I19" i="11" a="1"/>
  <c r="I19" i="11" s="1"/>
  <c r="H19" i="11" a="1"/>
  <c r="H19" i="11" s="1"/>
  <c r="G19" i="11" a="1"/>
  <c r="G19" i="11" s="1"/>
  <c r="E19" i="11"/>
  <c r="L7" i="17" l="1"/>
  <c r="M7" i="17" s="1"/>
  <c r="R7" i="13"/>
  <c r="N8" i="11"/>
  <c r="M17" i="7" a="1"/>
  <c r="M17" i="7" s="1"/>
  <c r="G17" i="7" a="1"/>
  <c r="G17" i="7" s="1"/>
  <c r="E17" i="7"/>
  <c r="O15" i="4"/>
  <c r="E15" i="4"/>
  <c r="L7" i="4" l="1"/>
  <c r="M7" i="4" s="1"/>
  <c r="I16" i="9"/>
  <c r="I19" i="9" s="1"/>
  <c r="K24" i="25"/>
  <c r="L24" i="25"/>
  <c r="O24" i="25" s="1"/>
  <c r="AH24" i="25" s="1"/>
  <c r="M24" i="25"/>
  <c r="P24" i="25"/>
  <c r="K25" i="25"/>
  <c r="L25" i="25"/>
  <c r="O25" i="25" s="1"/>
  <c r="AH25" i="25" s="1"/>
  <c r="M25" i="25"/>
  <c r="P25" i="25"/>
  <c r="K26" i="25"/>
  <c r="L26" i="25"/>
  <c r="O26" i="25" s="1"/>
  <c r="AH26" i="25" s="1"/>
  <c r="M26" i="25"/>
  <c r="P26" i="25"/>
  <c r="K27" i="25"/>
  <c r="L27" i="25"/>
  <c r="O27" i="25" s="1"/>
  <c r="AH27" i="25" s="1"/>
  <c r="M27" i="25"/>
  <c r="P27" i="25"/>
  <c r="N24" i="25" l="1"/>
  <c r="N27" i="25"/>
  <c r="N25" i="25"/>
  <c r="N26" i="25"/>
  <c r="J15" i="9" l="1"/>
  <c r="P15" i="25"/>
  <c r="P20" i="25"/>
  <c r="P21" i="25"/>
  <c r="P22" i="25"/>
  <c r="P23" i="25"/>
  <c r="P16" i="25"/>
  <c r="K18" i="25"/>
  <c r="K19" i="25"/>
  <c r="X19" i="25" s="1"/>
  <c r="X17" i="25" s="1"/>
  <c r="K20" i="25"/>
  <c r="K21" i="25"/>
  <c r="K22" i="25"/>
  <c r="K23" i="25"/>
  <c r="O16" i="25"/>
  <c r="AH16" i="25" s="1"/>
  <c r="L19" i="25"/>
  <c r="O19" i="25" s="1"/>
  <c r="L20" i="25"/>
  <c r="O20" i="25" s="1"/>
  <c r="AH20" i="25" s="1"/>
  <c r="L21" i="25"/>
  <c r="L22" i="25"/>
  <c r="O22" i="25" s="1"/>
  <c r="AH22" i="25" s="1"/>
  <c r="L23" i="25"/>
  <c r="O23" i="25" s="1"/>
  <c r="AH23" i="25" s="1"/>
  <c r="M19" i="25"/>
  <c r="M20" i="25"/>
  <c r="M21" i="25"/>
  <c r="M22" i="25"/>
  <c r="M23" i="25"/>
  <c r="D9" i="5"/>
  <c r="Y19" i="25" l="1" a="1"/>
  <c r="Y19" i="25" s="1"/>
  <c r="L17" i="25"/>
  <c r="N19" i="25"/>
  <c r="N21" i="25"/>
  <c r="N23" i="25"/>
  <c r="N22" i="25"/>
  <c r="N20" i="25"/>
  <c r="O21" i="25"/>
  <c r="AH21" i="25" s="1"/>
  <c r="J16" i="9"/>
  <c r="J17" i="9"/>
  <c r="R33" i="4"/>
  <c r="R35" i="4"/>
  <c r="Y17" i="25" l="1"/>
  <c r="AA19" i="25" a="1"/>
  <c r="AA19" i="25" s="1"/>
  <c r="AG19" i="25" s="1"/>
  <c r="J19" i="9"/>
  <c r="F7" i="9" s="1"/>
  <c r="R31" i="4"/>
  <c r="R34" i="4"/>
  <c r="J15" i="20"/>
  <c r="F5" i="20" s="1"/>
  <c r="O17" i="25"/>
  <c r="R32" i="4"/>
  <c r="AH19" i="25" l="1"/>
  <c r="AG17" i="25"/>
  <c r="E91" i="18" s="1"/>
  <c r="F5" i="25"/>
  <c r="F7" i="25" s="1"/>
  <c r="D91" i="18"/>
  <c r="E84" i="18"/>
  <c r="G5" i="20"/>
  <c r="F84" i="18" s="1"/>
  <c r="AA17" i="25"/>
  <c r="G5" i="25" s="1"/>
  <c r="D93" i="18" l="1"/>
  <c r="G7" i="25"/>
  <c r="E93" i="18" s="1"/>
  <c r="AA20" i="11"/>
  <c r="H5" i="25" l="1"/>
  <c r="I7" i="21"/>
  <c r="F91" i="18" l="1"/>
  <c r="H7" i="25"/>
  <c r="I5" i="25"/>
  <c r="G91" i="18" s="1"/>
  <c r="J14" i="21"/>
  <c r="J18" i="21"/>
  <c r="N7" i="21" s="1"/>
  <c r="J15" i="21"/>
  <c r="J17" i="21"/>
  <c r="N6" i="21" s="1"/>
  <c r="F93" i="18" l="1"/>
  <c r="I7" i="25"/>
  <c r="G93" i="18" s="1"/>
  <c r="Q22" i="1"/>
  <c r="J16" i="21" l="1"/>
  <c r="N5" i="21" s="1"/>
  <c r="N9" i="21" l="1"/>
  <c r="N10" i="21" s="1"/>
  <c r="N19" i="21" s="1"/>
  <c r="N11" i="21" l="1"/>
  <c r="N17" i="21" s="1"/>
  <c r="N21" i="21"/>
  <c r="F4" i="21" l="1"/>
  <c r="F5" i="21" l="1"/>
  <c r="G5" i="21" s="1"/>
  <c r="F70" i="18" s="1"/>
  <c r="F7" i="21"/>
  <c r="N12" i="21"/>
  <c r="G7" i="21"/>
  <c r="F72" i="18" s="1"/>
  <c r="G4" i="21"/>
  <c r="F69" i="18" s="1"/>
  <c r="R15" i="9" l="1"/>
  <c r="D13" i="18"/>
  <c r="F13" i="18"/>
  <c r="R14" i="17"/>
  <c r="F23" i="16"/>
  <c r="F24" i="16"/>
  <c r="F25" i="16"/>
  <c r="F26" i="16"/>
  <c r="F27" i="16"/>
  <c r="F28" i="16"/>
  <c r="F29" i="16"/>
  <c r="F30" i="16"/>
  <c r="F31" i="16"/>
  <c r="F32" i="16"/>
  <c r="F33" i="16"/>
  <c r="F34" i="16"/>
  <c r="F35" i="16"/>
  <c r="J23" i="16"/>
  <c r="K23" i="16"/>
  <c r="J24" i="16"/>
  <c r="K24" i="16" s="1"/>
  <c r="J25" i="16"/>
  <c r="K25" i="16" s="1"/>
  <c r="Q25" i="16" s="1"/>
  <c r="R25" i="16" s="1"/>
  <c r="J26" i="16"/>
  <c r="K26" i="16" s="1"/>
  <c r="Q26" i="16" s="1"/>
  <c r="R26" i="16" s="1"/>
  <c r="J27" i="16"/>
  <c r="K27" i="16" s="1"/>
  <c r="J28" i="16"/>
  <c r="K28" i="16" s="1"/>
  <c r="J29" i="16"/>
  <c r="K29" i="16" s="1"/>
  <c r="J30" i="16"/>
  <c r="K30" i="16" s="1"/>
  <c r="J31" i="16"/>
  <c r="K31" i="16" s="1"/>
  <c r="J32" i="16"/>
  <c r="K32" i="16" s="1"/>
  <c r="J33" i="16"/>
  <c r="K33" i="16" s="1"/>
  <c r="J34" i="16"/>
  <c r="K34" i="16" s="1"/>
  <c r="J35" i="16"/>
  <c r="K35" i="16"/>
  <c r="AD25" i="16"/>
  <c r="AD27" i="16"/>
  <c r="AD28" i="16"/>
  <c r="AD29" i="16"/>
  <c r="AD30" i="16"/>
  <c r="AD31" i="16"/>
  <c r="AD32" i="16"/>
  <c r="AD33" i="16"/>
  <c r="AD34" i="16"/>
  <c r="AD35" i="16"/>
  <c r="V21" i="16"/>
  <c r="V22" i="16"/>
  <c r="V23" i="16"/>
  <c r="V24" i="16"/>
  <c r="V25" i="16"/>
  <c r="V26" i="16"/>
  <c r="V27" i="16"/>
  <c r="V28" i="16"/>
  <c r="V29" i="16"/>
  <c r="V30" i="16"/>
  <c r="V31" i="16"/>
  <c r="V32" i="16"/>
  <c r="V33" i="16"/>
  <c r="V34" i="16"/>
  <c r="V35" i="16"/>
  <c r="Z25" i="16"/>
  <c r="AA25" i="16" s="1"/>
  <c r="AB25" i="16"/>
  <c r="Z26" i="16"/>
  <c r="AA26" i="16" s="1"/>
  <c r="AB26" i="16"/>
  <c r="Z27" i="16"/>
  <c r="AA27" i="16" s="1"/>
  <c r="AB27" i="16"/>
  <c r="Z28" i="16"/>
  <c r="AA28" i="16" s="1"/>
  <c r="AB28" i="16"/>
  <c r="Z29" i="16"/>
  <c r="AA29" i="16" s="1"/>
  <c r="AB29" i="16"/>
  <c r="Z30" i="16"/>
  <c r="AA30" i="16" s="1"/>
  <c r="AB30" i="16"/>
  <c r="Z31" i="16"/>
  <c r="AA31" i="16" s="1"/>
  <c r="AB31" i="16"/>
  <c r="Z32" i="16"/>
  <c r="AA32" i="16" s="1"/>
  <c r="AB32" i="16"/>
  <c r="Z33" i="16"/>
  <c r="AA33" i="16"/>
  <c r="AB33" i="16"/>
  <c r="Z34" i="16"/>
  <c r="AA34" i="16" s="1"/>
  <c r="AB34" i="16"/>
  <c r="Z35" i="16"/>
  <c r="AA35" i="16" s="1"/>
  <c r="AB35" i="16"/>
  <c r="AD26" i="16"/>
  <c r="AP25" i="13"/>
  <c r="V25" i="13" s="1"/>
  <c r="AQ25" i="13"/>
  <c r="AR25" i="13"/>
  <c r="AT25" i="13"/>
  <c r="AV25" i="13"/>
  <c r="AW25" i="13"/>
  <c r="AX25" i="13"/>
  <c r="AZ25" i="13"/>
  <c r="BA25" i="13" s="1"/>
  <c r="AP26" i="13"/>
  <c r="V26" i="13" s="1"/>
  <c r="AQ26" i="13"/>
  <c r="AR26" i="13"/>
  <c r="H26" i="13" s="1"/>
  <c r="W26" i="13"/>
  <c r="AT26" i="13"/>
  <c r="AV26" i="13"/>
  <c r="AW26" i="13"/>
  <c r="AX26" i="13"/>
  <c r="AF26" i="13" s="1"/>
  <c r="AK26" i="13"/>
  <c r="AZ26" i="13"/>
  <c r="BA26" i="13" s="1"/>
  <c r="AP27" i="13"/>
  <c r="V27" i="13" s="1"/>
  <c r="AQ27" i="13"/>
  <c r="AR27" i="13"/>
  <c r="O27" i="13" s="1"/>
  <c r="W27" i="13"/>
  <c r="AT27" i="13"/>
  <c r="X27" i="13" s="1"/>
  <c r="AV27" i="13"/>
  <c r="AW27" i="13"/>
  <c r="AX27" i="13"/>
  <c r="AF27" i="13" s="1"/>
  <c r="AK27" i="13"/>
  <c r="AZ27" i="13"/>
  <c r="BA27" i="13" s="1"/>
  <c r="AP28" i="13"/>
  <c r="V28" i="13" s="1"/>
  <c r="AQ28" i="13"/>
  <c r="AR28" i="13"/>
  <c r="O28" i="13" s="1"/>
  <c r="W28" i="13"/>
  <c r="AT28" i="13"/>
  <c r="AV28" i="13"/>
  <c r="AW28" i="13"/>
  <c r="AX28" i="13"/>
  <c r="AF28" i="13" s="1"/>
  <c r="AK28" i="13"/>
  <c r="AZ28" i="13"/>
  <c r="BA28" i="13" s="1"/>
  <c r="AP29" i="13"/>
  <c r="V29" i="13" s="1"/>
  <c r="AQ29" i="13"/>
  <c r="AR29" i="13"/>
  <c r="H29" i="13" s="1"/>
  <c r="W29" i="13"/>
  <c r="AT29" i="13"/>
  <c r="AV29" i="13"/>
  <c r="AW29" i="13"/>
  <c r="AX29" i="13"/>
  <c r="AF29" i="13" s="1"/>
  <c r="AK29" i="13"/>
  <c r="AZ29" i="13"/>
  <c r="BA29" i="13" s="1"/>
  <c r="AP30" i="13"/>
  <c r="V30" i="13" s="1"/>
  <c r="AQ30" i="13"/>
  <c r="AR30" i="13"/>
  <c r="O30" i="13" s="1"/>
  <c r="W30" i="13"/>
  <c r="AT30" i="13"/>
  <c r="AV30" i="13"/>
  <c r="AW30" i="13"/>
  <c r="AX30" i="13"/>
  <c r="AF30" i="13" s="1"/>
  <c r="AK30" i="13"/>
  <c r="AZ30" i="13"/>
  <c r="BA30" i="13" s="1"/>
  <c r="AP31" i="13"/>
  <c r="V31" i="13" s="1"/>
  <c r="AQ31" i="13"/>
  <c r="AR31" i="13"/>
  <c r="H31" i="13" s="1"/>
  <c r="W31" i="13"/>
  <c r="AT31" i="13"/>
  <c r="AV31" i="13"/>
  <c r="AW31" i="13"/>
  <c r="AX31" i="13"/>
  <c r="AF31" i="13" s="1"/>
  <c r="AK31" i="13"/>
  <c r="AZ31" i="13"/>
  <c r="BA31" i="13" s="1"/>
  <c r="AP32" i="13"/>
  <c r="V32" i="13" s="1"/>
  <c r="AQ32" i="13"/>
  <c r="AR32" i="13"/>
  <c r="H32" i="13" s="1"/>
  <c r="W32" i="13"/>
  <c r="AT32" i="13"/>
  <c r="AV32" i="13"/>
  <c r="AW32" i="13"/>
  <c r="AX32" i="13"/>
  <c r="AF32" i="13" s="1"/>
  <c r="AK32" i="13"/>
  <c r="AZ32" i="13"/>
  <c r="BA32" i="13" s="1"/>
  <c r="AP33" i="13"/>
  <c r="V33" i="13" s="1"/>
  <c r="AQ33" i="13"/>
  <c r="AR33" i="13"/>
  <c r="H33" i="13" s="1"/>
  <c r="W33" i="13"/>
  <c r="AT33" i="13"/>
  <c r="X33" i="13" s="1"/>
  <c r="AV33" i="13"/>
  <c r="AW33" i="13"/>
  <c r="AX33" i="13"/>
  <c r="AF33" i="13" s="1"/>
  <c r="AK33" i="13"/>
  <c r="AZ33" i="13"/>
  <c r="BA33" i="13" s="1"/>
  <c r="AP34" i="13"/>
  <c r="V34" i="13" s="1"/>
  <c r="AQ34" i="13"/>
  <c r="AR34" i="13"/>
  <c r="H34" i="13" s="1"/>
  <c r="W34" i="13"/>
  <c r="AT34" i="13"/>
  <c r="AV34" i="13"/>
  <c r="AW34" i="13"/>
  <c r="AX34" i="13"/>
  <c r="AF34" i="13" s="1"/>
  <c r="AK34" i="13"/>
  <c r="AZ34" i="13"/>
  <c r="BA34" i="13" s="1"/>
  <c r="AP35" i="13"/>
  <c r="V35" i="13" s="1"/>
  <c r="AQ35" i="13"/>
  <c r="AR35" i="13"/>
  <c r="O35" i="13" s="1"/>
  <c r="W35" i="13"/>
  <c r="AT35" i="13"/>
  <c r="AV35" i="13"/>
  <c r="AW35" i="13"/>
  <c r="AX35" i="13"/>
  <c r="AF35" i="13" s="1"/>
  <c r="AK35" i="13"/>
  <c r="AZ35" i="13"/>
  <c r="BA35" i="13" s="1"/>
  <c r="AP36" i="13"/>
  <c r="V36" i="13" s="1"/>
  <c r="AQ36" i="13"/>
  <c r="AR36" i="13"/>
  <c r="AT36" i="13"/>
  <c r="X36" i="13" s="1"/>
  <c r="AV36" i="13"/>
  <c r="AW36" i="13"/>
  <c r="AX36" i="13"/>
  <c r="AZ36" i="13"/>
  <c r="BA36" i="13" s="1"/>
  <c r="M26" i="13"/>
  <c r="M27" i="13"/>
  <c r="M28" i="13"/>
  <c r="M29" i="13"/>
  <c r="M30" i="13"/>
  <c r="M31" i="13"/>
  <c r="M32" i="13"/>
  <c r="M33" i="13"/>
  <c r="M34" i="13"/>
  <c r="M35" i="13"/>
  <c r="M36" i="13"/>
  <c r="L29" i="11"/>
  <c r="AA29" i="11" s="1"/>
  <c r="R29" i="11"/>
  <c r="AE29" i="11" s="1"/>
  <c r="AF29" i="11" s="1"/>
  <c r="L30" i="11"/>
  <c r="AA30" i="11" s="1"/>
  <c r="R30" i="11"/>
  <c r="AE30" i="11" s="1"/>
  <c r="L31" i="11"/>
  <c r="R31" i="11"/>
  <c r="AE31" i="11" s="1"/>
  <c r="L32" i="11"/>
  <c r="AA32" i="11" s="1"/>
  <c r="R32" i="11"/>
  <c r="AE32" i="11" s="1"/>
  <c r="L33" i="11"/>
  <c r="AA33" i="11" s="1"/>
  <c r="R33" i="11"/>
  <c r="AE33" i="11" s="1"/>
  <c r="L34" i="11"/>
  <c r="AA34" i="11" s="1"/>
  <c r="R34" i="11"/>
  <c r="AE34" i="11" s="1"/>
  <c r="L35" i="11"/>
  <c r="AA35" i="11" s="1"/>
  <c r="R35" i="11"/>
  <c r="AE35" i="11" s="1"/>
  <c r="L36" i="11"/>
  <c r="AA36" i="11" s="1"/>
  <c r="R36" i="11"/>
  <c r="AE36" i="11" s="1"/>
  <c r="L37" i="11"/>
  <c r="AA37" i="11" s="1"/>
  <c r="R37" i="11"/>
  <c r="AE37" i="11" s="1"/>
  <c r="L38" i="11"/>
  <c r="R38" i="11"/>
  <c r="AE38" i="11" s="1"/>
  <c r="L39" i="11"/>
  <c r="R39" i="11"/>
  <c r="AE39" i="11" s="1"/>
  <c r="AA39" i="11"/>
  <c r="F29" i="11"/>
  <c r="F30" i="11"/>
  <c r="F31" i="11"/>
  <c r="F32" i="11"/>
  <c r="F33" i="11"/>
  <c r="F34" i="11"/>
  <c r="F35" i="11"/>
  <c r="F36" i="11"/>
  <c r="F37" i="11"/>
  <c r="F38" i="11"/>
  <c r="F39" i="11"/>
  <c r="P27" i="7"/>
  <c r="Z27" i="7" s="1"/>
  <c r="P28" i="7"/>
  <c r="Z28" i="7" s="1"/>
  <c r="P29" i="7"/>
  <c r="Z29" i="7" s="1"/>
  <c r="P30" i="7"/>
  <c r="Z30" i="7" s="1"/>
  <c r="P31" i="7"/>
  <c r="Z31" i="7" s="1"/>
  <c r="P32" i="7"/>
  <c r="Z32" i="7" s="1"/>
  <c r="P33" i="7"/>
  <c r="Z33" i="7" s="1"/>
  <c r="P34" i="7"/>
  <c r="Z34" i="7" s="1"/>
  <c r="P35" i="7"/>
  <c r="Z35" i="7" s="1"/>
  <c r="P36" i="7"/>
  <c r="Z36" i="7" s="1"/>
  <c r="P37" i="7"/>
  <c r="Z37" i="7" s="1"/>
  <c r="K27" i="7"/>
  <c r="W27" i="7" s="1"/>
  <c r="K28" i="7"/>
  <c r="W28" i="7" s="1"/>
  <c r="K29" i="7"/>
  <c r="Q29" i="7" s="1"/>
  <c r="R29" i="7" s="1"/>
  <c r="K30" i="7"/>
  <c r="W30" i="7" s="1"/>
  <c r="K31" i="7"/>
  <c r="K32" i="7"/>
  <c r="W32" i="7" s="1"/>
  <c r="K33" i="7"/>
  <c r="W33" i="7" s="1"/>
  <c r="K34" i="7"/>
  <c r="W34" i="7" s="1"/>
  <c r="K35" i="7"/>
  <c r="W35" i="7" s="1"/>
  <c r="K36" i="7"/>
  <c r="W36" i="7" s="1"/>
  <c r="K37" i="7"/>
  <c r="W37" i="7" s="1"/>
  <c r="F28" i="7"/>
  <c r="F27" i="7"/>
  <c r="F29" i="7"/>
  <c r="F30" i="7"/>
  <c r="F31" i="7"/>
  <c r="F32" i="7"/>
  <c r="F33" i="7"/>
  <c r="F34" i="7"/>
  <c r="F35" i="7"/>
  <c r="F36" i="7"/>
  <c r="R28" i="4"/>
  <c r="R29" i="4"/>
  <c r="R30" i="4"/>
  <c r="R24" i="9"/>
  <c r="Q25" i="9"/>
  <c r="R25" i="9"/>
  <c r="Q26" i="9"/>
  <c r="R26" i="9"/>
  <c r="Q27" i="9"/>
  <c r="R27" i="9"/>
  <c r="Q28" i="9"/>
  <c r="R28" i="9"/>
  <c r="Q29" i="9"/>
  <c r="R29" i="9"/>
  <c r="Q30" i="9"/>
  <c r="R30" i="9"/>
  <c r="Q31" i="9"/>
  <c r="R31" i="9"/>
  <c r="Q32" i="9"/>
  <c r="R32" i="9"/>
  <c r="Q33" i="9"/>
  <c r="R33" i="9"/>
  <c r="Q34" i="9"/>
  <c r="R34" i="9"/>
  <c r="Q35" i="9"/>
  <c r="R35" i="9"/>
  <c r="Q36" i="9"/>
  <c r="R36" i="9"/>
  <c r="Q37" i="9"/>
  <c r="R37" i="9"/>
  <c r="Q38" i="9"/>
  <c r="R38" i="9"/>
  <c r="Q39" i="9"/>
  <c r="R39" i="9"/>
  <c r="R35" i="17"/>
  <c r="Q35" i="17"/>
  <c r="R34" i="17"/>
  <c r="Q34" i="17"/>
  <c r="R33" i="17"/>
  <c r="Q33" i="17"/>
  <c r="R32" i="17"/>
  <c r="Q32" i="17"/>
  <c r="R31" i="17"/>
  <c r="Q31" i="17"/>
  <c r="R30" i="17"/>
  <c r="Q30" i="17"/>
  <c r="R29" i="17"/>
  <c r="Q29" i="17"/>
  <c r="R28" i="17"/>
  <c r="Q28" i="17"/>
  <c r="R27" i="17"/>
  <c r="Q27" i="17"/>
  <c r="R26" i="17"/>
  <c r="Q26" i="17"/>
  <c r="R25" i="17"/>
  <c r="Q25" i="17"/>
  <c r="R24" i="17"/>
  <c r="Q24" i="17"/>
  <c r="R23" i="17"/>
  <c r="Q23" i="17"/>
  <c r="R22" i="17"/>
  <c r="Q22" i="17"/>
  <c r="R21" i="17"/>
  <c r="Q21" i="17"/>
  <c r="R20" i="17"/>
  <c r="Q20" i="17"/>
  <c r="R19" i="17"/>
  <c r="Q19" i="17"/>
  <c r="R18" i="17"/>
  <c r="S18" i="17" s="1"/>
  <c r="Q18" i="17"/>
  <c r="R17" i="17"/>
  <c r="Q17" i="17"/>
  <c r="S17" i="17" s="1"/>
  <c r="R16" i="17"/>
  <c r="S16" i="17" s="1"/>
  <c r="Q14" i="17"/>
  <c r="T17" i="17" l="1"/>
  <c r="V17" i="17" s="1"/>
  <c r="U17" i="17"/>
  <c r="T18" i="17"/>
  <c r="V18" i="17" s="1"/>
  <c r="U18" i="17"/>
  <c r="T16" i="17"/>
  <c r="V16" i="17" s="1"/>
  <c r="U16" i="17"/>
  <c r="AU36" i="13"/>
  <c r="AU30" i="13"/>
  <c r="X30" i="13"/>
  <c r="AU28" i="13"/>
  <c r="X28" i="13"/>
  <c r="AU26" i="13"/>
  <c r="X26" i="13"/>
  <c r="AU31" i="13"/>
  <c r="X31" i="13"/>
  <c r="AU29" i="13"/>
  <c r="X29" i="13"/>
  <c r="AU34" i="13"/>
  <c r="X34" i="13"/>
  <c r="AU32" i="13"/>
  <c r="X32" i="13"/>
  <c r="AU35" i="13"/>
  <c r="X35" i="13"/>
  <c r="AU25" i="13"/>
  <c r="X25" i="13"/>
  <c r="AG33" i="13"/>
  <c r="AG34" i="13"/>
  <c r="AG28" i="13"/>
  <c r="AG30" i="13"/>
  <c r="AG26" i="13"/>
  <c r="AG36" i="13"/>
  <c r="AG29" i="13"/>
  <c r="Q36" i="7"/>
  <c r="R36" i="7" s="1"/>
  <c r="AG34" i="11"/>
  <c r="AG32" i="11"/>
  <c r="Q28" i="16"/>
  <c r="R28" i="16" s="1"/>
  <c r="Q27" i="16"/>
  <c r="R27" i="16" s="1"/>
  <c r="Q29" i="16"/>
  <c r="R29" i="16" s="1"/>
  <c r="AG35" i="11"/>
  <c r="AF39" i="11"/>
  <c r="AG39" i="11"/>
  <c r="AG33" i="11"/>
  <c r="AG36" i="11"/>
  <c r="S30" i="11"/>
  <c r="AG29" i="11"/>
  <c r="AJ29" i="11" s="1"/>
  <c r="AG37" i="11"/>
  <c r="AG30" i="11"/>
  <c r="T33" i="13"/>
  <c r="AE33" i="13" s="1"/>
  <c r="AI33" i="13" s="1"/>
  <c r="AF32" i="11"/>
  <c r="AF33" i="11"/>
  <c r="AF37" i="11"/>
  <c r="AF35" i="11"/>
  <c r="S33" i="11"/>
  <c r="S38" i="11"/>
  <c r="AF34" i="11"/>
  <c r="S32" i="11"/>
  <c r="S39" i="11"/>
  <c r="S29" i="11"/>
  <c r="AI29" i="11" s="1"/>
  <c r="AA34" i="7"/>
  <c r="AB34" i="7" s="1"/>
  <c r="AA37" i="7"/>
  <c r="AB37" i="7" s="1"/>
  <c r="AA28" i="7"/>
  <c r="AB28" i="7" s="1"/>
  <c r="AA32" i="7"/>
  <c r="AB32" i="7" s="1"/>
  <c r="AA27" i="7"/>
  <c r="AB27" i="7" s="1"/>
  <c r="AA36" i="7"/>
  <c r="AB36" i="7" s="1"/>
  <c r="AA35" i="7"/>
  <c r="AB35" i="7" s="1"/>
  <c r="Q33" i="7"/>
  <c r="R33" i="7" s="1"/>
  <c r="Q35" i="7"/>
  <c r="AC35" i="7" s="1"/>
  <c r="Q34" i="7"/>
  <c r="R34" i="7" s="1"/>
  <c r="AA33" i="7"/>
  <c r="AB33" i="7" s="1"/>
  <c r="Q32" i="7"/>
  <c r="R32" i="7" s="1"/>
  <c r="Q31" i="7"/>
  <c r="R31" i="7" s="1"/>
  <c r="R35" i="7"/>
  <c r="AA30" i="7"/>
  <c r="AB30" i="7" s="1"/>
  <c r="AD33" i="7"/>
  <c r="AC36" i="7"/>
  <c r="Q27" i="7"/>
  <c r="R27" i="7" s="1"/>
  <c r="Q28" i="7"/>
  <c r="R28" i="7" s="1"/>
  <c r="W31" i="7"/>
  <c r="AA31" i="7" s="1"/>
  <c r="AB31" i="7" s="1"/>
  <c r="Q30" i="7"/>
  <c r="W29" i="7"/>
  <c r="AA29" i="7" s="1"/>
  <c r="AB29" i="7" s="1"/>
  <c r="AD29" i="7" s="1"/>
  <c r="R25" i="4"/>
  <c r="R26" i="4"/>
  <c r="S33" i="9"/>
  <c r="S24" i="9"/>
  <c r="S27" i="9"/>
  <c r="S39" i="9"/>
  <c r="S15" i="9"/>
  <c r="S26" i="9"/>
  <c r="S25" i="9"/>
  <c r="S35" i="11"/>
  <c r="S34" i="11"/>
  <c r="S37" i="11"/>
  <c r="S31" i="11"/>
  <c r="AA31" i="11"/>
  <c r="AG31" i="11" s="1"/>
  <c r="R27" i="4"/>
  <c r="S38" i="9"/>
  <c r="S28" i="9"/>
  <c r="S29" i="9"/>
  <c r="S36" i="9"/>
  <c r="S34" i="9"/>
  <c r="T34" i="13"/>
  <c r="AE34" i="13" s="1"/>
  <c r="AI34" i="13" s="1"/>
  <c r="O29" i="13"/>
  <c r="T29" i="13"/>
  <c r="AE29" i="13" s="1"/>
  <c r="AI29" i="13" s="1"/>
  <c r="T27" i="13"/>
  <c r="AE27" i="13" s="1"/>
  <c r="AI27" i="13" s="1"/>
  <c r="T30" i="13"/>
  <c r="AE30" i="13" s="1"/>
  <c r="AI30" i="13" s="1"/>
  <c r="O31" i="13"/>
  <c r="T35" i="13"/>
  <c r="AE35" i="13" s="1"/>
  <c r="AI35" i="13" s="1"/>
  <c r="T31" i="13"/>
  <c r="AE31" i="13" s="1"/>
  <c r="AI31" i="13" s="1"/>
  <c r="AG27" i="13"/>
  <c r="AU33" i="13"/>
  <c r="AU27" i="13"/>
  <c r="S31" i="9"/>
  <c r="S30" i="9"/>
  <c r="S35" i="9"/>
  <c r="S37" i="9"/>
  <c r="S32" i="9"/>
  <c r="G13" i="18"/>
  <c r="AN33" i="13"/>
  <c r="Q34" i="16"/>
  <c r="R34" i="16" s="1"/>
  <c r="Q32" i="16"/>
  <c r="R32" i="16" s="1"/>
  <c r="Q35" i="16"/>
  <c r="R35" i="16" s="1"/>
  <c r="Q33" i="16"/>
  <c r="R33" i="16" s="1"/>
  <c r="Q31" i="16"/>
  <c r="R31" i="16" s="1"/>
  <c r="Q30" i="16"/>
  <c r="R30" i="16" s="1"/>
  <c r="O33" i="13"/>
  <c r="H35" i="13"/>
  <c r="T26" i="13"/>
  <c r="AE26" i="13" s="1"/>
  <c r="AI26" i="13" s="1"/>
  <c r="O34" i="13"/>
  <c r="AG35" i="13"/>
  <c r="O32" i="13"/>
  <c r="AG31" i="13"/>
  <c r="H27" i="13"/>
  <c r="AE26" i="16"/>
  <c r="AF26" i="16" s="1"/>
  <c r="AH26" i="16" s="1"/>
  <c r="AE33" i="16"/>
  <c r="AF33" i="16" s="1"/>
  <c r="AE29" i="16"/>
  <c r="AF29" i="16"/>
  <c r="AE32" i="16"/>
  <c r="AF32" i="16" s="1"/>
  <c r="AE31" i="16"/>
  <c r="AE30" i="16"/>
  <c r="AF30" i="16" s="1"/>
  <c r="AE28" i="16"/>
  <c r="AE27" i="16"/>
  <c r="AF27" i="16" s="1"/>
  <c r="AE34" i="16"/>
  <c r="AF34" i="16" s="1"/>
  <c r="AF31" i="16"/>
  <c r="AF28" i="16"/>
  <c r="AH28" i="16" s="1"/>
  <c r="AG28" i="16"/>
  <c r="AE25" i="16"/>
  <c r="AG25" i="16" s="1"/>
  <c r="AG33" i="16"/>
  <c r="AE35" i="16"/>
  <c r="AG35" i="16" s="1"/>
  <c r="AG27" i="16"/>
  <c r="AN26" i="13"/>
  <c r="AN28" i="13"/>
  <c r="AN29" i="13"/>
  <c r="T32" i="13"/>
  <c r="AE32" i="13" s="1"/>
  <c r="AI32" i="13" s="1"/>
  <c r="AN31" i="13"/>
  <c r="H28" i="13"/>
  <c r="O26" i="13"/>
  <c r="AN27" i="13"/>
  <c r="AN34" i="13"/>
  <c r="AN32" i="13"/>
  <c r="AN35" i="13"/>
  <c r="T28" i="13"/>
  <c r="AE28" i="13" s="1"/>
  <c r="AI28" i="13" s="1"/>
  <c r="H30" i="13"/>
  <c r="AN30" i="13"/>
  <c r="AG32" i="13"/>
  <c r="AF36" i="11"/>
  <c r="S36" i="11"/>
  <c r="AF30" i="11"/>
  <c r="AA38" i="11"/>
  <c r="AG38" i="11" s="1"/>
  <c r="AD31" i="7" l="1"/>
  <c r="AJ36" i="11"/>
  <c r="AH32" i="11"/>
  <c r="AJ32" i="11"/>
  <c r="AJ26" i="13"/>
  <c r="AM26" i="13" s="1"/>
  <c r="AL26" i="13"/>
  <c r="AJ30" i="13"/>
  <c r="AM30" i="13" s="1"/>
  <c r="AL30" i="13"/>
  <c r="AJ34" i="13"/>
  <c r="AM34" i="13" s="1"/>
  <c r="AL34" i="13"/>
  <c r="AJ33" i="13"/>
  <c r="AM33" i="13" s="1"/>
  <c r="AL33" i="13"/>
  <c r="AL31" i="13"/>
  <c r="AJ31" i="13"/>
  <c r="AM31" i="13" s="1"/>
  <c r="AL27" i="13"/>
  <c r="AJ27" i="13"/>
  <c r="AM27" i="13" s="1"/>
  <c r="AJ28" i="13"/>
  <c r="AM28" i="13" s="1"/>
  <c r="AL28" i="13"/>
  <c r="AJ32" i="13"/>
  <c r="AM32" i="13" s="1"/>
  <c r="AL32" i="13"/>
  <c r="AL35" i="13"/>
  <c r="AJ35" i="13"/>
  <c r="AM35" i="13" s="1"/>
  <c r="AJ29" i="13"/>
  <c r="AM29" i="13" s="1"/>
  <c r="AL29" i="13"/>
  <c r="AH30" i="16"/>
  <c r="AG29" i="16"/>
  <c r="AG31" i="16"/>
  <c r="AH31" i="16"/>
  <c r="AH27" i="16"/>
  <c r="AH29" i="16"/>
  <c r="AH39" i="11"/>
  <c r="AJ35" i="11"/>
  <c r="AD36" i="7"/>
  <c r="U33" i="11"/>
  <c r="AC33" i="7"/>
  <c r="AH35" i="11"/>
  <c r="F4" i="17"/>
  <c r="AD27" i="7"/>
  <c r="AH33" i="16"/>
  <c r="U39" i="11"/>
  <c r="AD35" i="7"/>
  <c r="AD28" i="7"/>
  <c r="D56" i="18"/>
  <c r="AI33" i="11"/>
  <c r="AH37" i="11"/>
  <c r="AH32" i="16"/>
  <c r="AJ30" i="11"/>
  <c r="U30" i="11"/>
  <c r="U34" i="11"/>
  <c r="AK34" i="11" s="1"/>
  <c r="AI32" i="11"/>
  <c r="AH29" i="11"/>
  <c r="AH33" i="11"/>
  <c r="U38" i="11"/>
  <c r="AJ37" i="11"/>
  <c r="AH34" i="11"/>
  <c r="AI39" i="11"/>
  <c r="U29" i="11"/>
  <c r="AJ33" i="11"/>
  <c r="AD34" i="7"/>
  <c r="AC32" i="7"/>
  <c r="AC34" i="7"/>
  <c r="AD32" i="7"/>
  <c r="AC30" i="7"/>
  <c r="R30" i="7"/>
  <c r="AD30" i="7" s="1"/>
  <c r="AC31" i="7"/>
  <c r="AC27" i="7"/>
  <c r="AC28" i="7"/>
  <c r="AC29" i="7"/>
  <c r="AF31" i="11"/>
  <c r="AJ31" i="11"/>
  <c r="AJ39" i="11"/>
  <c r="AI37" i="11"/>
  <c r="U37" i="11"/>
  <c r="U35" i="11"/>
  <c r="AI35" i="11"/>
  <c r="AI34" i="11"/>
  <c r="U32" i="11"/>
  <c r="AK32" i="11" s="1"/>
  <c r="AH36" i="11"/>
  <c r="AH34" i="16"/>
  <c r="AG30" i="16"/>
  <c r="AG32" i="16"/>
  <c r="AG34" i="16"/>
  <c r="AG26" i="16"/>
  <c r="AF25" i="16"/>
  <c r="AH25" i="16" s="1"/>
  <c r="AF35" i="16"/>
  <c r="AH35" i="16" s="1"/>
  <c r="AF38" i="11"/>
  <c r="AJ38" i="11"/>
  <c r="AJ34" i="11"/>
  <c r="AI36" i="11"/>
  <c r="U36" i="11"/>
  <c r="AH30" i="11"/>
  <c r="AI30" i="11"/>
  <c r="U31" i="11"/>
  <c r="S15" i="17"/>
  <c r="G4" i="17" s="1"/>
  <c r="G7" i="17" s="1"/>
  <c r="F7" i="17" l="1"/>
  <c r="D58" i="18" s="1"/>
  <c r="AK39" i="11"/>
  <c r="D55" i="18"/>
  <c r="AK35" i="11"/>
  <c r="AK30" i="11"/>
  <c r="AK33" i="11"/>
  <c r="AK37" i="11"/>
  <c r="AK29" i="11"/>
  <c r="U15" i="17"/>
  <c r="V15" i="17"/>
  <c r="AK36" i="11"/>
  <c r="AH31" i="11"/>
  <c r="AK31" i="11" s="1"/>
  <c r="AI31" i="11"/>
  <c r="E55" i="18"/>
  <c r="T15" i="17"/>
  <c r="G5" i="17" s="1"/>
  <c r="H4" i="17"/>
  <c r="I4" i="17" s="1"/>
  <c r="AH38" i="11"/>
  <c r="AK38" i="11" s="1"/>
  <c r="AI38" i="11"/>
  <c r="H5" i="17" l="1"/>
  <c r="E56" i="18"/>
  <c r="F55" i="18"/>
  <c r="G55" i="18" s="1"/>
  <c r="H7" i="17"/>
  <c r="E58" i="18"/>
  <c r="F4" i="9"/>
  <c r="AK36" i="13"/>
  <c r="R23" i="9"/>
  <c r="S23" i="9" s="1"/>
  <c r="F58" i="18" l="1"/>
  <c r="G58" i="18" s="1"/>
  <c r="I7" i="17"/>
  <c r="I5" i="17"/>
  <c r="F56" i="18"/>
  <c r="G56" i="18" s="1"/>
  <c r="F5" i="9"/>
  <c r="D12" i="18" s="1"/>
  <c r="D11" i="18"/>
  <c r="F9" i="9" l="1"/>
  <c r="D16" i="18" s="1"/>
  <c r="M19" i="13"/>
  <c r="M20" i="13"/>
  <c r="M21" i="13"/>
  <c r="M22" i="13"/>
  <c r="M23" i="13"/>
  <c r="M24" i="13"/>
  <c r="M25" i="13"/>
  <c r="Q23" i="9" l="1"/>
  <c r="G37" i="1"/>
  <c r="E59" i="1" s="1"/>
  <c r="N37" i="1"/>
  <c r="E76" i="1" s="1"/>
  <c r="E77" i="1" l="1"/>
  <c r="G59" i="1"/>
  <c r="I59" i="1"/>
  <c r="K59" i="1"/>
  <c r="L59" i="1"/>
  <c r="M59" i="1"/>
  <c r="N59" i="1"/>
  <c r="H59" i="1"/>
  <c r="J59" i="1"/>
  <c r="O59" i="1"/>
  <c r="P59" i="1"/>
  <c r="F59" i="1"/>
  <c r="G16" i="12" a="1"/>
  <c r="G16" i="12" s="1"/>
  <c r="D14" i="18" l="1"/>
  <c r="Z16" i="16"/>
  <c r="AA16" i="16" s="1"/>
  <c r="Z17" i="16"/>
  <c r="Z18" i="16"/>
  <c r="Z19" i="16"/>
  <c r="Z20" i="16"/>
  <c r="Z21" i="16"/>
  <c r="Z22" i="16"/>
  <c r="Z23" i="16"/>
  <c r="Z24" i="16"/>
  <c r="Z14" i="16"/>
  <c r="T15" i="16" l="1"/>
  <c r="H15" i="16" a="1"/>
  <c r="H15" i="16" s="1"/>
  <c r="X15" i="16" a="1"/>
  <c r="X15" i="16" s="1"/>
  <c r="AA17" i="16"/>
  <c r="AA18" i="16"/>
  <c r="AA19" i="16"/>
  <c r="AA20" i="16"/>
  <c r="AA21" i="16"/>
  <c r="AA22" i="16"/>
  <c r="AA23" i="16"/>
  <c r="AA24" i="16"/>
  <c r="AD16" i="16"/>
  <c r="D15" i="16"/>
  <c r="L7" i="16" l="1"/>
  <c r="M7" i="16" s="1"/>
  <c r="J22" i="16"/>
  <c r="K22" i="16" s="1"/>
  <c r="J21" i="16"/>
  <c r="K21" i="16" s="1"/>
  <c r="J20" i="16"/>
  <c r="K20" i="16" s="1"/>
  <c r="J19" i="16"/>
  <c r="K19" i="16" s="1"/>
  <c r="J18" i="16"/>
  <c r="K18" i="16" s="1"/>
  <c r="J17" i="16"/>
  <c r="K17" i="16" s="1"/>
  <c r="J16" i="16"/>
  <c r="K16" i="16" s="1"/>
  <c r="Q16" i="16" s="1"/>
  <c r="J14" i="16"/>
  <c r="K14" i="16" s="1"/>
  <c r="AB24" i="16"/>
  <c r="AD24" i="16"/>
  <c r="AB23" i="16"/>
  <c r="AD23" i="16"/>
  <c r="AB22" i="16"/>
  <c r="AD22" i="16"/>
  <c r="F22" i="16"/>
  <c r="AB21" i="16"/>
  <c r="AD21" i="16"/>
  <c r="F21" i="16"/>
  <c r="AB20" i="16"/>
  <c r="V20" i="16"/>
  <c r="AD20" i="16"/>
  <c r="F20" i="16"/>
  <c r="AB19" i="16"/>
  <c r="V19" i="16"/>
  <c r="AD19" i="16"/>
  <c r="F19" i="16"/>
  <c r="AB18" i="16"/>
  <c r="V18" i="16"/>
  <c r="F18" i="16"/>
  <c r="AB17" i="16"/>
  <c r="V17" i="16"/>
  <c r="F17" i="16"/>
  <c r="AB16" i="16"/>
  <c r="AE16" i="16" s="1"/>
  <c r="AF16" i="16" s="1"/>
  <c r="V16" i="16"/>
  <c r="F16" i="16"/>
  <c r="AB14" i="16"/>
  <c r="AA14" i="16"/>
  <c r="V14" i="16"/>
  <c r="AD14" i="16"/>
  <c r="F14" i="16"/>
  <c r="Q23" i="16" l="1"/>
  <c r="R23" i="16" s="1"/>
  <c r="Q17" i="16"/>
  <c r="R17" i="16" s="1"/>
  <c r="Q24" i="16"/>
  <c r="R24" i="16" s="1"/>
  <c r="AD17" i="16"/>
  <c r="P15" i="16"/>
  <c r="Q20" i="16"/>
  <c r="R20" i="16" s="1"/>
  <c r="Q21" i="16"/>
  <c r="R21" i="16" s="1"/>
  <c r="AE14" i="16"/>
  <c r="AF14" i="16" s="1"/>
  <c r="Q18" i="16"/>
  <c r="R18" i="16" s="1"/>
  <c r="Q19" i="16"/>
  <c r="R19" i="16" s="1"/>
  <c r="AE19" i="16"/>
  <c r="AF19" i="16" s="1"/>
  <c r="AE17" i="16"/>
  <c r="AF17" i="16" s="1"/>
  <c r="AE24" i="16"/>
  <c r="Q22" i="16"/>
  <c r="R22" i="16" s="1"/>
  <c r="R14" i="16"/>
  <c r="AG19" i="16"/>
  <c r="AE20" i="16"/>
  <c r="AF20" i="16" s="1"/>
  <c r="AE21" i="16"/>
  <c r="AF21" i="16" s="1"/>
  <c r="AE22" i="16"/>
  <c r="AF22" i="16" s="1"/>
  <c r="AE23" i="16"/>
  <c r="AF23" i="16" s="1"/>
  <c r="AD18" i="16"/>
  <c r="AE18" i="16" s="1"/>
  <c r="AF18" i="16" s="1"/>
  <c r="AH19" i="16" l="1"/>
  <c r="Q15" i="16"/>
  <c r="F4" i="16" s="1"/>
  <c r="F7" i="16" s="1"/>
  <c r="R16" i="16"/>
  <c r="R15" i="16" s="1"/>
  <c r="F5" i="16" s="1"/>
  <c r="D49" i="18" s="1"/>
  <c r="AD15" i="16"/>
  <c r="AF24" i="16"/>
  <c r="AH24" i="16" s="1"/>
  <c r="AG24" i="16"/>
  <c r="AG16" i="16"/>
  <c r="AG17" i="16"/>
  <c r="AH17" i="16"/>
  <c r="AH14" i="16"/>
  <c r="AG14" i="16"/>
  <c r="AF15" i="16"/>
  <c r="G5" i="16" s="1"/>
  <c r="E49" i="18" s="1"/>
  <c r="AE15" i="16"/>
  <c r="G4" i="16" s="1"/>
  <c r="G7" i="16" s="1"/>
  <c r="AG18" i="16"/>
  <c r="AG22" i="16"/>
  <c r="AH18" i="16"/>
  <c r="AG23" i="16"/>
  <c r="AH23" i="16"/>
  <c r="AH22" i="16"/>
  <c r="AH16" i="16"/>
  <c r="AH20" i="16"/>
  <c r="AG20" i="16"/>
  <c r="AG21" i="16"/>
  <c r="AH21" i="16"/>
  <c r="D51" i="18" l="1"/>
  <c r="D48" i="18"/>
  <c r="E51" i="18"/>
  <c r="E48" i="18"/>
  <c r="H4" i="16"/>
  <c r="AG15" i="16"/>
  <c r="H5" i="16"/>
  <c r="I5" i="16" s="1"/>
  <c r="AH15" i="16"/>
  <c r="H7" i="16" l="1"/>
  <c r="I7" i="16" s="1"/>
  <c r="F49" i="18"/>
  <c r="G49" i="18" s="1"/>
  <c r="I4" i="16"/>
  <c r="F48" i="18"/>
  <c r="G48" i="18" s="1"/>
  <c r="F51" i="18"/>
  <c r="G51" i="18" s="1"/>
  <c r="AZ15" i="13"/>
  <c r="AU15" i="13" l="1"/>
  <c r="AK19" i="13"/>
  <c r="AK20" i="13"/>
  <c r="AK21" i="13"/>
  <c r="AK22" i="13"/>
  <c r="AK23" i="13"/>
  <c r="AK24" i="13"/>
  <c r="AK25" i="13"/>
  <c r="W19" i="13"/>
  <c r="W20" i="13"/>
  <c r="W21" i="13"/>
  <c r="W22" i="13"/>
  <c r="W23" i="13"/>
  <c r="W24" i="13"/>
  <c r="W25" i="13"/>
  <c r="W36" i="13"/>
  <c r="AN36" i="13" s="1"/>
  <c r="AZ17" i="13"/>
  <c r="AZ18" i="13"/>
  <c r="AZ19" i="13"/>
  <c r="AZ20" i="13"/>
  <c r="AZ21" i="13"/>
  <c r="AZ22" i="13"/>
  <c r="AZ23" i="13"/>
  <c r="AZ24" i="13"/>
  <c r="AX17" i="13"/>
  <c r="AF17" i="13" s="1"/>
  <c r="AX18" i="13"/>
  <c r="AX19" i="13"/>
  <c r="AX20" i="13"/>
  <c r="AX21" i="13"/>
  <c r="AX22" i="13"/>
  <c r="AX23" i="13"/>
  <c r="AX24" i="13"/>
  <c r="AF36" i="13"/>
  <c r="AX15" i="13"/>
  <c r="AV17" i="13"/>
  <c r="AV18" i="13"/>
  <c r="AV19" i="13"/>
  <c r="AV20" i="13"/>
  <c r="AV21" i="13"/>
  <c r="AV22" i="13"/>
  <c r="AV23" i="13"/>
  <c r="AV24" i="13"/>
  <c r="AW17" i="13"/>
  <c r="AW18" i="13"/>
  <c r="AW19" i="13"/>
  <c r="AW20" i="13"/>
  <c r="AW21" i="13"/>
  <c r="AW22" i="13"/>
  <c r="AW23" i="13"/>
  <c r="AW24" i="13"/>
  <c r="AW15" i="13"/>
  <c r="AV15" i="13"/>
  <c r="AT17" i="13"/>
  <c r="X17" i="13" s="1"/>
  <c r="AT18" i="13"/>
  <c r="AT19" i="13"/>
  <c r="AT20" i="13"/>
  <c r="AT21" i="13"/>
  <c r="AT22" i="13"/>
  <c r="AT23" i="13"/>
  <c r="AT24" i="13"/>
  <c r="T25" i="13"/>
  <c r="AE25" i="13" s="1"/>
  <c r="AI25" i="13" s="1"/>
  <c r="AT15" i="13"/>
  <c r="AP17" i="13"/>
  <c r="V17" i="13" s="1"/>
  <c r="AP18" i="13"/>
  <c r="V18" i="13" s="1"/>
  <c r="AP19" i="13"/>
  <c r="V19" i="13" s="1"/>
  <c r="AP20" i="13"/>
  <c r="V20" i="13" s="1"/>
  <c r="AP21" i="13"/>
  <c r="V21" i="13" s="1"/>
  <c r="AP22" i="13"/>
  <c r="V22" i="13" s="1"/>
  <c r="AP23" i="13"/>
  <c r="V23" i="13" s="1"/>
  <c r="AP24" i="13"/>
  <c r="V24" i="13" s="1"/>
  <c r="AP15" i="13"/>
  <c r="V15" i="13" s="1"/>
  <c r="AQ17" i="13"/>
  <c r="AQ18" i="13"/>
  <c r="AQ19" i="13"/>
  <c r="AQ20" i="13"/>
  <c r="AQ21" i="13"/>
  <c r="AQ22" i="13"/>
  <c r="AQ23" i="13"/>
  <c r="AQ24" i="13"/>
  <c r="AQ15" i="13"/>
  <c r="AR15" i="13"/>
  <c r="AR18" i="13"/>
  <c r="AR19" i="13"/>
  <c r="AR20" i="13"/>
  <c r="AR21" i="13"/>
  <c r="AR22" i="13"/>
  <c r="AR23" i="13"/>
  <c r="O23" i="13" s="1"/>
  <c r="AR24" i="13"/>
  <c r="T24" i="13" l="1"/>
  <c r="AE24" i="13" s="1"/>
  <c r="AI24" i="13" s="1"/>
  <c r="X24" i="13"/>
  <c r="T22" i="13"/>
  <c r="AE22" i="13" s="1"/>
  <c r="AI22" i="13" s="1"/>
  <c r="X22" i="13"/>
  <c r="T20" i="13"/>
  <c r="AE20" i="13" s="1"/>
  <c r="AI20" i="13" s="1"/>
  <c r="X20" i="13"/>
  <c r="T23" i="13"/>
  <c r="AE23" i="13" s="1"/>
  <c r="AI23" i="13" s="1"/>
  <c r="X23" i="13"/>
  <c r="T19" i="13"/>
  <c r="AE19" i="13" s="1"/>
  <c r="AI19" i="13" s="1"/>
  <c r="X19" i="13"/>
  <c r="T15" i="13"/>
  <c r="AE15" i="13" s="1"/>
  <c r="AI15" i="13" s="1"/>
  <c r="X15" i="13"/>
  <c r="T18" i="13"/>
  <c r="AE18" i="13" s="1"/>
  <c r="X18" i="13"/>
  <c r="AJ25" i="13"/>
  <c r="AM25" i="13" s="1"/>
  <c r="AL25" i="13"/>
  <c r="T21" i="13"/>
  <c r="AE21" i="13" s="1"/>
  <c r="AI21" i="13" s="1"/>
  <c r="X21" i="13"/>
  <c r="AN22" i="13"/>
  <c r="AN21" i="13"/>
  <c r="AN20" i="13"/>
  <c r="AN25" i="13"/>
  <c r="AN24" i="13"/>
  <c r="AN23" i="13"/>
  <c r="AN19" i="13"/>
  <c r="H36" i="13"/>
  <c r="O36" i="13"/>
  <c r="T36" i="13"/>
  <c r="AE36" i="13" s="1"/>
  <c r="AI36" i="13" s="1"/>
  <c r="T17" i="13"/>
  <c r="AE17" i="13" s="1"/>
  <c r="AF25" i="13"/>
  <c r="H25" i="13"/>
  <c r="BA24" i="13"/>
  <c r="AF24" i="13"/>
  <c r="AU24" i="13"/>
  <c r="O24" i="13"/>
  <c r="BA23" i="13"/>
  <c r="AF23" i="13"/>
  <c r="AU23" i="13"/>
  <c r="H23" i="13"/>
  <c r="BA22" i="13"/>
  <c r="AF22" i="13"/>
  <c r="AU22" i="13"/>
  <c r="O22" i="13"/>
  <c r="BA21" i="13"/>
  <c r="AU21" i="13"/>
  <c r="O21" i="13"/>
  <c r="AF21" i="13"/>
  <c r="BA20" i="13"/>
  <c r="AF20" i="13"/>
  <c r="AU20" i="13"/>
  <c r="H20" i="13"/>
  <c r="BA19" i="13"/>
  <c r="AF19" i="13"/>
  <c r="AU19" i="13"/>
  <c r="H19" i="13"/>
  <c r="BA18" i="13"/>
  <c r="AF18" i="13"/>
  <c r="AU18" i="13"/>
  <c r="H18" i="13"/>
  <c r="BA17" i="13"/>
  <c r="AU17" i="13"/>
  <c r="Z16" i="13"/>
  <c r="F16" i="13"/>
  <c r="BA15" i="13"/>
  <c r="AF15" i="13"/>
  <c r="O15" i="13"/>
  <c r="AI14" i="13"/>
  <c r="AE14" i="13"/>
  <c r="U14" i="13"/>
  <c r="N14" i="13"/>
  <c r="AL19" i="13" l="1"/>
  <c r="AJ19" i="13"/>
  <c r="AM19" i="13" s="1"/>
  <c r="AJ22" i="13"/>
  <c r="AM22" i="13" s="1"/>
  <c r="AL22" i="13"/>
  <c r="AJ24" i="13"/>
  <c r="AM24" i="13" s="1"/>
  <c r="AL24" i="13"/>
  <c r="AJ36" i="13"/>
  <c r="AM36" i="13" s="1"/>
  <c r="AL36" i="13"/>
  <c r="AL23" i="13"/>
  <c r="AJ23" i="13"/>
  <c r="AM23" i="13" s="1"/>
  <c r="AJ21" i="13"/>
  <c r="AM21" i="13" s="1"/>
  <c r="AL21" i="13"/>
  <c r="AJ15" i="13"/>
  <c r="AM15" i="13" s="1"/>
  <c r="AL15" i="13"/>
  <c r="AJ20" i="13"/>
  <c r="AM20" i="13" s="1"/>
  <c r="AL20" i="13"/>
  <c r="AG23" i="13"/>
  <c r="T16" i="13"/>
  <c r="AG18" i="13"/>
  <c r="AI18" i="13" s="1"/>
  <c r="AG17" i="13"/>
  <c r="AI17" i="13" s="1"/>
  <c r="AG15" i="13"/>
  <c r="O20" i="13"/>
  <c r="O19" i="13"/>
  <c r="AG21" i="13"/>
  <c r="AG22" i="13"/>
  <c r="O25" i="13"/>
  <c r="AG25" i="13"/>
  <c r="H22" i="13"/>
  <c r="O17" i="13"/>
  <c r="AG19" i="13"/>
  <c r="AG24" i="13"/>
  <c r="H15" i="13"/>
  <c r="AG20" i="13"/>
  <c r="H21" i="13"/>
  <c r="O18" i="13"/>
  <c r="H24" i="13"/>
  <c r="AJ18" i="13" l="1"/>
  <c r="AM18" i="13" s="1"/>
  <c r="AL18" i="13"/>
  <c r="AJ17" i="13"/>
  <c r="AM17" i="13" s="1"/>
  <c r="AL17" i="13"/>
  <c r="U16" i="13"/>
  <c r="AL16" i="13" l="1"/>
  <c r="G6" i="13" s="1"/>
  <c r="E44" i="18" s="1"/>
  <c r="AM16" i="13"/>
  <c r="AI16" i="13"/>
  <c r="V16" i="13"/>
  <c r="F4" i="13" s="1"/>
  <c r="D42" i="18" s="1"/>
  <c r="X16" i="13"/>
  <c r="F6" i="13" s="1"/>
  <c r="AJ16" i="13"/>
  <c r="G4" i="13" l="1"/>
  <c r="E42" i="18" s="1"/>
  <c r="D44" i="18"/>
  <c r="H6" i="13"/>
  <c r="I6" i="13" s="1"/>
  <c r="H4" i="13" l="1"/>
  <c r="F42" i="18" s="1"/>
  <c r="G42" i="18" s="1"/>
  <c r="F44" i="18"/>
  <c r="G44" i="18" s="1"/>
  <c r="R17" i="12"/>
  <c r="Q16" i="12" a="1"/>
  <c r="Q16" i="12" s="1"/>
  <c r="G4" i="12" s="1"/>
  <c r="G7" i="12" s="1"/>
  <c r="J16" i="12" a="1"/>
  <c r="J16" i="12" s="1"/>
  <c r="F4" i="12" s="1"/>
  <c r="F7" i="12" s="1"/>
  <c r="I4" i="13" l="1"/>
  <c r="H4" i="12"/>
  <c r="F62" i="18" s="1"/>
  <c r="D65" i="18"/>
  <c r="D62" i="18"/>
  <c r="E65" i="18"/>
  <c r="E62" i="18"/>
  <c r="R18" i="12"/>
  <c r="R19" i="12"/>
  <c r="R20" i="12"/>
  <c r="R21" i="12"/>
  <c r="R22" i="12"/>
  <c r="R23" i="12"/>
  <c r="R24" i="12"/>
  <c r="R25" i="12"/>
  <c r="R26" i="12"/>
  <c r="R15" i="12"/>
  <c r="E16" i="12"/>
  <c r="I4" i="12" l="1"/>
  <c r="G62" i="18"/>
  <c r="R16" i="12"/>
  <c r="F26" i="12"/>
  <c r="F25" i="12"/>
  <c r="F24" i="12"/>
  <c r="K24" i="12" s="1"/>
  <c r="F23" i="12"/>
  <c r="K23" i="12" s="1"/>
  <c r="F22" i="12"/>
  <c r="F21" i="12"/>
  <c r="F20" i="12"/>
  <c r="F19" i="12"/>
  <c r="F17" i="12"/>
  <c r="K17" i="12" s="1"/>
  <c r="O16" i="12"/>
  <c r="N16" i="12"/>
  <c r="M8" i="12" s="1"/>
  <c r="M16" i="12"/>
  <c r="H16" i="12"/>
  <c r="F15" i="12"/>
  <c r="K15" i="12" s="1"/>
  <c r="T15" i="12" s="1"/>
  <c r="N8" i="12" l="1"/>
  <c r="O7" i="12" s="1"/>
  <c r="S17" i="12"/>
  <c r="K21" i="12"/>
  <c r="T21" i="12" s="1"/>
  <c r="S26" i="12"/>
  <c r="K26" i="12"/>
  <c r="K18" i="12"/>
  <c r="T18" i="12" s="1"/>
  <c r="S19" i="12"/>
  <c r="K19" i="12"/>
  <c r="T19" i="12" s="1"/>
  <c r="S20" i="12"/>
  <c r="K20" i="12"/>
  <c r="T20" i="12" s="1"/>
  <c r="K22" i="12"/>
  <c r="T22" i="12" s="1"/>
  <c r="S25" i="12"/>
  <c r="K25" i="12"/>
  <c r="T25" i="12" s="1"/>
  <c r="T23" i="12"/>
  <c r="T24" i="12"/>
  <c r="S22" i="12"/>
  <c r="G5" i="12"/>
  <c r="E63" i="18" s="1"/>
  <c r="S23" i="12"/>
  <c r="S18" i="12"/>
  <c r="S15" i="12"/>
  <c r="S24" i="12"/>
  <c r="T26" i="12"/>
  <c r="S21" i="12"/>
  <c r="R21" i="11"/>
  <c r="R22" i="11"/>
  <c r="AE22" i="11" s="1"/>
  <c r="R23" i="11"/>
  <c r="AE23" i="11" s="1"/>
  <c r="R24" i="11"/>
  <c r="AE24" i="11" s="1"/>
  <c r="R25" i="11"/>
  <c r="R26" i="11"/>
  <c r="AE26" i="11" s="1"/>
  <c r="R27" i="11"/>
  <c r="R28" i="11"/>
  <c r="AE28" i="11" s="1"/>
  <c r="AE25" i="11"/>
  <c r="AE27" i="11"/>
  <c r="L18" i="11"/>
  <c r="AE21" i="11" l="1"/>
  <c r="T21" i="11"/>
  <c r="K16" i="12"/>
  <c r="S16" i="12"/>
  <c r="T17" i="12"/>
  <c r="T16" i="12" s="1"/>
  <c r="H7" i="12" l="1"/>
  <c r="I7" i="12" s="1"/>
  <c r="F5" i="12"/>
  <c r="F65" i="18"/>
  <c r="G65" i="18" s="1"/>
  <c r="F18" i="11"/>
  <c r="AB19" i="11" a="1"/>
  <c r="AB19" i="11" s="1"/>
  <c r="O8" i="11" s="1"/>
  <c r="P7" i="11" s="1"/>
  <c r="W19" i="11"/>
  <c r="L28" i="11"/>
  <c r="AA28" i="11" s="1"/>
  <c r="AG28" i="11" s="1"/>
  <c r="F28" i="11"/>
  <c r="L27" i="11"/>
  <c r="AA27" i="11" s="1"/>
  <c r="AG27" i="11" s="1"/>
  <c r="F27" i="11"/>
  <c r="L26" i="11"/>
  <c r="AA26" i="11" s="1"/>
  <c r="AG26" i="11" s="1"/>
  <c r="F26" i="11"/>
  <c r="L25" i="11"/>
  <c r="AA25" i="11" s="1"/>
  <c r="AG25" i="11" s="1"/>
  <c r="F25" i="11"/>
  <c r="L24" i="11"/>
  <c r="AA24" i="11" s="1"/>
  <c r="AG24" i="11" s="1"/>
  <c r="L23" i="11"/>
  <c r="AA23" i="11" s="1"/>
  <c r="AG23" i="11" s="1"/>
  <c r="F23" i="11"/>
  <c r="L22" i="11"/>
  <c r="AA22" i="11" s="1"/>
  <c r="AG22" i="11" s="1"/>
  <c r="F22" i="11"/>
  <c r="L21" i="11"/>
  <c r="F21" i="11"/>
  <c r="AE20" i="11"/>
  <c r="AG20" i="11" s="1"/>
  <c r="F20" i="11"/>
  <c r="T20" i="11" s="1"/>
  <c r="T19" i="11" s="1"/>
  <c r="R18" i="11"/>
  <c r="AE18" i="11" s="1"/>
  <c r="AA18" i="11"/>
  <c r="AJ28" i="11" l="1"/>
  <c r="D63" i="18"/>
  <c r="H5" i="12"/>
  <c r="AJ24" i="11"/>
  <c r="S20" i="11"/>
  <c r="AJ20" i="11"/>
  <c r="AA21" i="11"/>
  <c r="AG21" i="11" s="1"/>
  <c r="AJ21" i="11" s="1"/>
  <c r="S18" i="11"/>
  <c r="S28" i="11"/>
  <c r="AF20" i="11"/>
  <c r="AF28" i="11"/>
  <c r="AH28" i="11" s="1"/>
  <c r="AF21" i="11"/>
  <c r="S21" i="11"/>
  <c r="S22" i="11"/>
  <c r="AF25" i="11"/>
  <c r="AF22" i="11"/>
  <c r="S26" i="11"/>
  <c r="S23" i="11"/>
  <c r="AF23" i="11"/>
  <c r="AF24" i="11"/>
  <c r="AF26" i="11"/>
  <c r="S24" i="11"/>
  <c r="S25" i="11"/>
  <c r="S27" i="11"/>
  <c r="AF27" i="11"/>
  <c r="AH27" i="11" s="1"/>
  <c r="AF18" i="11"/>
  <c r="AH18" i="11" s="1"/>
  <c r="P18" i="7"/>
  <c r="Z18" i="7" s="1"/>
  <c r="Y17" i="7" a="1"/>
  <c r="Y17" i="7" s="1"/>
  <c r="X17" i="7" a="1"/>
  <c r="X17" i="7" s="1"/>
  <c r="V17" i="7" a="1"/>
  <c r="V17" i="7" s="1"/>
  <c r="U17" i="7" a="1"/>
  <c r="U17" i="7" s="1"/>
  <c r="N8" i="7" s="1"/>
  <c r="T17" i="7"/>
  <c r="L17" i="7" a="1"/>
  <c r="L17" i="7" s="1"/>
  <c r="H17" i="7" a="1"/>
  <c r="H17" i="7" s="1"/>
  <c r="AI21" i="11" l="1"/>
  <c r="O8" i="7"/>
  <c r="P7" i="7" s="1"/>
  <c r="AH21" i="11"/>
  <c r="F63" i="18"/>
  <c r="G63" i="18" s="1"/>
  <c r="I5" i="12"/>
  <c r="U20" i="11"/>
  <c r="AG19" i="11"/>
  <c r="G5" i="11" s="1"/>
  <c r="F5" i="11"/>
  <c r="S19" i="11"/>
  <c r="F4" i="11" s="1"/>
  <c r="AJ23" i="11"/>
  <c r="AI20" i="11"/>
  <c r="AJ27" i="11"/>
  <c r="U18" i="11"/>
  <c r="AK18" i="11" s="1"/>
  <c r="AH24" i="11"/>
  <c r="AH20" i="11"/>
  <c r="AH23" i="11"/>
  <c r="U26" i="11"/>
  <c r="AI26" i="11"/>
  <c r="AI18" i="11"/>
  <c r="AH25" i="11"/>
  <c r="AJ22" i="11"/>
  <c r="AI27" i="11"/>
  <c r="U27" i="11"/>
  <c r="AK27" i="11" s="1"/>
  <c r="AJ26" i="11"/>
  <c r="AH22" i="11"/>
  <c r="U22" i="11"/>
  <c r="AI22" i="11"/>
  <c r="AI25" i="11"/>
  <c r="U25" i="11"/>
  <c r="AI24" i="11"/>
  <c r="U24" i="11"/>
  <c r="U21" i="11"/>
  <c r="AJ25" i="11"/>
  <c r="AH26" i="11"/>
  <c r="U28" i="11"/>
  <c r="AK28" i="11" s="1"/>
  <c r="AI28" i="11"/>
  <c r="U23" i="11"/>
  <c r="AI23" i="11"/>
  <c r="AF19" i="11"/>
  <c r="G4" i="11" s="1"/>
  <c r="D12" i="5"/>
  <c r="D13" i="5"/>
  <c r="D5" i="5"/>
  <c r="D7" i="5"/>
  <c r="D4" i="5"/>
  <c r="D11" i="5"/>
  <c r="D3" i="5"/>
  <c r="D6" i="5"/>
  <c r="D8" i="5"/>
  <c r="D10" i="5"/>
  <c r="D14" i="5"/>
  <c r="AK24" i="11" l="1"/>
  <c r="AK20" i="11"/>
  <c r="E35" i="18"/>
  <c r="D35" i="18"/>
  <c r="F8" i="11"/>
  <c r="AK23" i="11"/>
  <c r="AJ19" i="11"/>
  <c r="AK26" i="11"/>
  <c r="U19" i="11"/>
  <c r="AH19" i="11"/>
  <c r="G6" i="11" s="1"/>
  <c r="E36" i="18" s="1"/>
  <c r="G8" i="11"/>
  <c r="E38" i="18" s="1"/>
  <c r="E34" i="18"/>
  <c r="D38" i="18"/>
  <c r="D34" i="18"/>
  <c r="AK25" i="11"/>
  <c r="H5" i="11"/>
  <c r="AK22" i="11"/>
  <c r="H4" i="11"/>
  <c r="F34" i="18" s="1"/>
  <c r="AK21" i="11"/>
  <c r="AI19" i="11"/>
  <c r="P21" i="8"/>
  <c r="F7" i="8" s="1"/>
  <c r="P22" i="8"/>
  <c r="F8" i="8" s="1"/>
  <c r="P23" i="8"/>
  <c r="F9" i="8" s="1"/>
  <c r="P24" i="8"/>
  <c r="F10" i="8" s="1"/>
  <c r="P26" i="8"/>
  <c r="F12" i="8" s="1"/>
  <c r="P27" i="8"/>
  <c r="F13" i="8" s="1"/>
  <c r="P20" i="8"/>
  <c r="F6" i="8" s="1"/>
  <c r="H8" i="11" l="1"/>
  <c r="F38" i="18" s="1"/>
  <c r="G38" i="18" s="1"/>
  <c r="AK19" i="11"/>
  <c r="I4" i="11"/>
  <c r="P16" i="9"/>
  <c r="R16" i="9" s="1"/>
  <c r="S16" i="9" s="1"/>
  <c r="I5" i="11"/>
  <c r="F35" i="18"/>
  <c r="G35" i="18" s="1"/>
  <c r="G34" i="18"/>
  <c r="F6" i="11"/>
  <c r="D36" i="18" s="1"/>
  <c r="I8" i="11"/>
  <c r="H6" i="11" l="1"/>
  <c r="I6" i="11" l="1"/>
  <c r="F36" i="18"/>
  <c r="G36" i="18" s="1"/>
  <c r="Q20" i="9"/>
  <c r="Q22" i="9"/>
  <c r="R22" i="9" s="1"/>
  <c r="Q18" i="9" l="1"/>
  <c r="G6" i="9" s="1"/>
  <c r="R20" i="9"/>
  <c r="S20" i="9" s="1"/>
  <c r="Q19" i="9"/>
  <c r="E13" i="18" l="1"/>
  <c r="P17" i="9"/>
  <c r="R17" i="9" s="1"/>
  <c r="S17" i="9" s="1"/>
  <c r="R21" i="9"/>
  <c r="R19" i="9" s="1"/>
  <c r="S22" i="9"/>
  <c r="G5" i="9" l="1"/>
  <c r="E12" i="18" s="1"/>
  <c r="R18" i="9"/>
  <c r="S18" i="9" s="1"/>
  <c r="S21" i="9"/>
  <c r="S19" i="9" s="1"/>
  <c r="G4" i="9"/>
  <c r="G7" i="9"/>
  <c r="H7" i="9" s="1"/>
  <c r="F18" i="7"/>
  <c r="F19" i="7"/>
  <c r="F20" i="7"/>
  <c r="F21" i="7"/>
  <c r="F22" i="7"/>
  <c r="F23" i="7"/>
  <c r="F24" i="7"/>
  <c r="F25" i="7"/>
  <c r="F26" i="7"/>
  <c r="F37" i="7"/>
  <c r="Q37" i="7" s="1"/>
  <c r="K18" i="7"/>
  <c r="K19" i="7"/>
  <c r="W19" i="7" s="1"/>
  <c r="K20" i="7"/>
  <c r="W20" i="7" s="1"/>
  <c r="K21" i="7"/>
  <c r="W21" i="7" s="1"/>
  <c r="K22" i="7"/>
  <c r="W22" i="7" s="1"/>
  <c r="K23" i="7"/>
  <c r="W23" i="7" s="1"/>
  <c r="K24" i="7"/>
  <c r="K25" i="7"/>
  <c r="W25" i="7" s="1"/>
  <c r="K26" i="7"/>
  <c r="W26" i="7" s="1"/>
  <c r="P19" i="7"/>
  <c r="Z19" i="7" s="1"/>
  <c r="P20" i="7"/>
  <c r="Z20" i="7" s="1"/>
  <c r="P21" i="7"/>
  <c r="Z21" i="7" s="1"/>
  <c r="P22" i="7"/>
  <c r="Z22" i="7" s="1"/>
  <c r="P23" i="7"/>
  <c r="Z23" i="7" s="1"/>
  <c r="P24" i="7"/>
  <c r="Z24" i="7" s="1"/>
  <c r="P25" i="7"/>
  <c r="Z25" i="7" s="1"/>
  <c r="P26" i="7"/>
  <c r="Z26" i="7" s="1"/>
  <c r="W16" i="7"/>
  <c r="H5" i="9" l="1"/>
  <c r="I5" i="9" s="1"/>
  <c r="G9" i="9"/>
  <c r="H9" i="9" s="1"/>
  <c r="W18" i="7"/>
  <c r="AA18" i="7" s="1"/>
  <c r="K17" i="7"/>
  <c r="Z17" i="7"/>
  <c r="R37" i="7"/>
  <c r="AD37" i="7" s="1"/>
  <c r="AC37" i="7"/>
  <c r="F12" i="18"/>
  <c r="G12" i="18" s="1"/>
  <c r="E11" i="18"/>
  <c r="H4" i="9"/>
  <c r="I4" i="9" s="1"/>
  <c r="E14" i="18"/>
  <c r="Z16" i="7"/>
  <c r="AA16" i="7" s="1"/>
  <c r="AB16" i="7" s="1"/>
  <c r="W24" i="7"/>
  <c r="AA24" i="7" s="1"/>
  <c r="AB24" i="7" s="1"/>
  <c r="P17" i="7"/>
  <c r="Q18" i="7"/>
  <c r="R18" i="7" s="1"/>
  <c r="Q25" i="7"/>
  <c r="R25" i="7" s="1"/>
  <c r="AA26" i="7"/>
  <c r="AB26" i="7" s="1"/>
  <c r="Q23" i="7"/>
  <c r="R23" i="7" s="1"/>
  <c r="Q26" i="7"/>
  <c r="R26" i="7" s="1"/>
  <c r="Q24" i="7"/>
  <c r="AA23" i="7"/>
  <c r="AB23" i="7" s="1"/>
  <c r="Q19" i="7"/>
  <c r="R19" i="7" s="1"/>
  <c r="AA19" i="7"/>
  <c r="Q22" i="7"/>
  <c r="R22" i="7" s="1"/>
  <c r="AA22" i="7"/>
  <c r="AB22" i="7" s="1"/>
  <c r="Q21" i="7"/>
  <c r="AA21" i="7"/>
  <c r="AB21" i="7" s="1"/>
  <c r="Q20" i="7"/>
  <c r="R20" i="7" s="1"/>
  <c r="AA20" i="7"/>
  <c r="AB20" i="7" s="1"/>
  <c r="AA25" i="7"/>
  <c r="AB25" i="7" s="1"/>
  <c r="W17" i="7" l="1"/>
  <c r="F11" i="18"/>
  <c r="G11" i="18" s="1"/>
  <c r="E16" i="18"/>
  <c r="I7" i="9"/>
  <c r="F14" i="18"/>
  <c r="G14" i="18" s="1"/>
  <c r="AC24" i="7"/>
  <c r="AB18" i="7"/>
  <c r="AD18" i="7" s="1"/>
  <c r="AA17" i="7"/>
  <c r="G4" i="7" s="1"/>
  <c r="AD26" i="7"/>
  <c r="Q17" i="7"/>
  <c r="F4" i="7" s="1"/>
  <c r="F7" i="7" s="1"/>
  <c r="AC26" i="7"/>
  <c r="AC16" i="7"/>
  <c r="AD20" i="7"/>
  <c r="R24" i="7"/>
  <c r="AD24" i="7" s="1"/>
  <c r="AD16" i="7"/>
  <c r="AD23" i="7"/>
  <c r="AC20" i="7"/>
  <c r="AC21" i="7"/>
  <c r="AB19" i="7"/>
  <c r="AD19" i="7" s="1"/>
  <c r="AC19" i="7"/>
  <c r="R21" i="7"/>
  <c r="AD21" i="7" s="1"/>
  <c r="AD22" i="7"/>
  <c r="AD25" i="7"/>
  <c r="AC18" i="7"/>
  <c r="AC22" i="7"/>
  <c r="AC25" i="7"/>
  <c r="AC23" i="7"/>
  <c r="R19" i="4"/>
  <c r="R20" i="4"/>
  <c r="S20" i="4" s="1"/>
  <c r="R21" i="4"/>
  <c r="S21" i="4" s="1"/>
  <c r="R23" i="4"/>
  <c r="R24" i="4"/>
  <c r="R17" i="4"/>
  <c r="R18" i="4"/>
  <c r="T20" i="4" l="1"/>
  <c r="V20" i="4" s="1"/>
  <c r="U20" i="4"/>
  <c r="T21" i="4"/>
  <c r="V21" i="4" s="1"/>
  <c r="U21" i="4"/>
  <c r="H4" i="7"/>
  <c r="AB17" i="7"/>
  <c r="G5" i="7" s="1"/>
  <c r="E28" i="18" s="1"/>
  <c r="I9" i="9"/>
  <c r="F16" i="18"/>
  <c r="G16" i="18" s="1"/>
  <c r="G7" i="7"/>
  <c r="E30" i="18" s="1"/>
  <c r="E27" i="18"/>
  <c r="D30" i="18"/>
  <c r="D27" i="18"/>
  <c r="AD17" i="7"/>
  <c r="AC17" i="7"/>
  <c r="R17" i="7"/>
  <c r="R16" i="4"/>
  <c r="S16" i="4" s="1"/>
  <c r="R22" i="4"/>
  <c r="F5" i="7" l="1"/>
  <c r="D28" i="18" s="1"/>
  <c r="U16" i="4"/>
  <c r="U15" i="4" s="1"/>
  <c r="T16" i="4"/>
  <c r="V16" i="4" s="1"/>
  <c r="I4" i="7"/>
  <c r="F27" i="18"/>
  <c r="G27" i="18" s="1"/>
  <c r="F7" i="4"/>
  <c r="L15" i="4"/>
  <c r="S15" i="4"/>
  <c r="G4" i="4" s="1"/>
  <c r="H5" i="7"/>
  <c r="H7" i="7"/>
  <c r="F5" i="4" l="1"/>
  <c r="D23" i="18"/>
  <c r="D6" i="18" s="1"/>
  <c r="D20" i="18"/>
  <c r="I5" i="7"/>
  <c r="F28" i="18"/>
  <c r="G28" i="18" s="1"/>
  <c r="I7" i="7"/>
  <c r="F30" i="18"/>
  <c r="G30" i="18" s="1"/>
  <c r="T15" i="4"/>
  <c r="V15" i="4"/>
  <c r="E20" i="18"/>
  <c r="D21" i="18" l="1"/>
  <c r="D4" i="18" s="1"/>
  <c r="H4" i="4"/>
  <c r="J4" i="4" s="1"/>
  <c r="G7" i="4"/>
  <c r="E23" i="18" s="1"/>
  <c r="G34" i="1"/>
  <c r="G40" i="1"/>
  <c r="E62" i="1" s="1"/>
  <c r="G39" i="1"/>
  <c r="E61" i="1" s="1"/>
  <c r="G36" i="1"/>
  <c r="E58" i="1" s="1"/>
  <c r="G35" i="1"/>
  <c r="E57" i="1" s="1"/>
  <c r="G33" i="1"/>
  <c r="E55" i="1" s="1"/>
  <c r="N40" i="1"/>
  <c r="N39" i="1"/>
  <c r="E80" i="1" s="1"/>
  <c r="N36" i="1"/>
  <c r="E74" i="1" s="1"/>
  <c r="N35" i="1"/>
  <c r="E72" i="1" s="1"/>
  <c r="N33" i="1"/>
  <c r="N34" i="1"/>
  <c r="E70" i="1" s="1"/>
  <c r="E81" i="1" l="1"/>
  <c r="E71" i="1"/>
  <c r="E11" i="28"/>
  <c r="E60" i="1"/>
  <c r="E12" i="28" s="1"/>
  <c r="E75" i="1"/>
  <c r="E63" i="1"/>
  <c r="E13" i="28" s="1"/>
  <c r="E17" i="28" s="1"/>
  <c r="E73" i="1"/>
  <c r="E78" i="1"/>
  <c r="E68" i="1"/>
  <c r="G58" i="1"/>
  <c r="H58" i="1"/>
  <c r="M58" i="1"/>
  <c r="F58" i="1"/>
  <c r="I58" i="1"/>
  <c r="J58" i="1"/>
  <c r="K58" i="1"/>
  <c r="L58" i="1"/>
  <c r="N58" i="1"/>
  <c r="O58" i="1"/>
  <c r="P58" i="1"/>
  <c r="M55" i="1"/>
  <c r="O55" i="1"/>
  <c r="AJ22" i="28"/>
  <c r="H55" i="1"/>
  <c r="I55" i="1"/>
  <c r="N55" i="1"/>
  <c r="P55" i="1"/>
  <c r="L55" i="1"/>
  <c r="J55" i="1"/>
  <c r="F55" i="1"/>
  <c r="G55" i="1"/>
  <c r="K55" i="1"/>
  <c r="P56" i="1"/>
  <c r="F56" i="1"/>
  <c r="K56" i="1"/>
  <c r="G56" i="1"/>
  <c r="L56" i="1"/>
  <c r="I56" i="1"/>
  <c r="J56" i="1"/>
  <c r="M56" i="1"/>
  <c r="N56" i="1"/>
  <c r="H56" i="1"/>
  <c r="O56" i="1"/>
  <c r="G57" i="1"/>
  <c r="I57" i="1"/>
  <c r="J57" i="1"/>
  <c r="K57" i="1"/>
  <c r="L57" i="1"/>
  <c r="O57" i="1"/>
  <c r="F57" i="1"/>
  <c r="H57" i="1"/>
  <c r="N57" i="1"/>
  <c r="P57" i="1"/>
  <c r="M57" i="1"/>
  <c r="M61" i="1"/>
  <c r="O61" i="1"/>
  <c r="G61" i="1"/>
  <c r="H61" i="1"/>
  <c r="I61" i="1"/>
  <c r="J61" i="1"/>
  <c r="N61" i="1"/>
  <c r="P61" i="1"/>
  <c r="F61" i="1"/>
  <c r="L61" i="1"/>
  <c r="K61" i="1"/>
  <c r="G62" i="1"/>
  <c r="H62" i="1"/>
  <c r="I62" i="1"/>
  <c r="J62" i="1"/>
  <c r="L62" i="1"/>
  <c r="M62" i="1"/>
  <c r="N62" i="1"/>
  <c r="P62" i="1"/>
  <c r="F62" i="1"/>
  <c r="K62" i="1"/>
  <c r="O62" i="1"/>
  <c r="F68" i="1"/>
  <c r="G68" i="1"/>
  <c r="F20" i="18"/>
  <c r="G20" i="18" s="1"/>
  <c r="G69" i="1" l="1"/>
  <c r="E79" i="1"/>
  <c r="E18" i="28"/>
  <c r="E16" i="28"/>
  <c r="E64" i="1"/>
  <c r="E14" i="28" s="1"/>
  <c r="E19" i="28"/>
  <c r="E15" i="28"/>
  <c r="F69" i="1"/>
  <c r="E20" i="28"/>
  <c r="E21" i="28" s="1"/>
  <c r="E69" i="1"/>
  <c r="AL23" i="28"/>
  <c r="G20" i="28"/>
  <c r="AK23" i="28"/>
  <c r="F20" i="28"/>
  <c r="AJ28" i="28"/>
  <c r="E22" i="28"/>
  <c r="AL22" i="28"/>
  <c r="G11" i="28"/>
  <c r="AK22" i="28"/>
  <c r="F11" i="28"/>
  <c r="AS22" i="28"/>
  <c r="N11" i="28"/>
  <c r="AT22" i="28"/>
  <c r="O11" i="28"/>
  <c r="AO22" i="28"/>
  <c r="J11" i="28"/>
  <c r="AN22" i="28"/>
  <c r="I11" i="28"/>
  <c r="AR22" i="28"/>
  <c r="M11" i="28"/>
  <c r="AU22" i="28"/>
  <c r="P11" i="28"/>
  <c r="AP22" i="28"/>
  <c r="K11" i="28"/>
  <c r="AQ22" i="28"/>
  <c r="L11" i="28"/>
  <c r="AM22" i="28"/>
  <c r="H11" i="28"/>
  <c r="AJ23" i="28"/>
  <c r="AJ27" i="28"/>
  <c r="AI17" i="1"/>
  <c r="AJ17" i="1"/>
  <c r="AK17" i="1"/>
  <c r="AI18" i="1"/>
  <c r="AI14" i="1"/>
  <c r="E32" i="28" l="1"/>
  <c r="E28" i="28"/>
  <c r="F32" i="28"/>
  <c r="F28" i="28"/>
  <c r="E29" i="28"/>
  <c r="E23" i="28"/>
  <c r="G28" i="28"/>
  <c r="G32" i="28"/>
  <c r="P15" i="28"/>
  <c r="P19" i="28"/>
  <c r="F15" i="28"/>
  <c r="Q11" i="28"/>
  <c r="F21" i="28"/>
  <c r="F19" i="28"/>
  <c r="I19" i="28"/>
  <c r="I15" i="28"/>
  <c r="O15" i="28"/>
  <c r="O19" i="28"/>
  <c r="H19" i="28"/>
  <c r="H15" i="28"/>
  <c r="K15" i="28"/>
  <c r="K19" i="28"/>
  <c r="M19" i="28"/>
  <c r="M15" i="28"/>
  <c r="J15" i="28"/>
  <c r="J19" i="28"/>
  <c r="N19" i="28"/>
  <c r="N15" i="28"/>
  <c r="G15" i="28"/>
  <c r="G21" i="28"/>
  <c r="G19" i="28"/>
  <c r="L19" i="28"/>
  <c r="L15" i="28"/>
  <c r="AJ32" i="28"/>
  <c r="R14" i="4"/>
  <c r="S14" i="4" s="1"/>
  <c r="K53" i="1"/>
  <c r="K66" i="1"/>
  <c r="K10" i="1"/>
  <c r="T14" i="4" l="1"/>
  <c r="V14" i="4" s="1"/>
  <c r="U14" i="4"/>
  <c r="Q15" i="28"/>
  <c r="Q19" i="28"/>
  <c r="AH19" i="1"/>
  <c r="AH18" i="1"/>
  <c r="AH17" i="1"/>
  <c r="AH15" i="1"/>
  <c r="AH14" i="1"/>
  <c r="AH16" i="1"/>
  <c r="AH9" i="1"/>
  <c r="AH10" i="1"/>
  <c r="G5" i="4"/>
  <c r="Q12" i="1"/>
  <c r="Q18" i="1"/>
  <c r="Q17" i="1"/>
  <c r="D39" i="1" s="1"/>
  <c r="Q16" i="1"/>
  <c r="Q15" i="1"/>
  <c r="Q14" i="1"/>
  <c r="Q13" i="1"/>
  <c r="AJ14" i="1" l="1"/>
  <c r="AK14" i="1"/>
  <c r="AL14" i="1"/>
  <c r="AN14" i="1"/>
  <c r="AO14" i="1"/>
  <c r="AR14" i="1"/>
  <c r="AT14" i="1"/>
  <c r="AP14" i="1"/>
  <c r="AQ14" i="1"/>
  <c r="AS14" i="1"/>
  <c r="AM14" i="1"/>
  <c r="H7" i="4"/>
  <c r="E21" i="18"/>
  <c r="E4" i="18" s="1"/>
  <c r="F4" i="18" s="1"/>
  <c r="H39" i="1"/>
  <c r="D35" i="1"/>
  <c r="D33" i="1"/>
  <c r="D37" i="1"/>
  <c r="H37" i="1" s="1"/>
  <c r="D34" i="1"/>
  <c r="D36" i="1"/>
  <c r="M60" i="1"/>
  <c r="M12" i="28" s="1"/>
  <c r="L60" i="1"/>
  <c r="L12" i="28" s="1"/>
  <c r="O60" i="1"/>
  <c r="O12" i="28" s="1"/>
  <c r="Q57" i="1"/>
  <c r="J60" i="1"/>
  <c r="J12" i="28" s="1"/>
  <c r="Q59" i="1"/>
  <c r="H60" i="1"/>
  <c r="H12" i="28" s="1"/>
  <c r="D40" i="1"/>
  <c r="H40" i="1" s="1"/>
  <c r="H5" i="4"/>
  <c r="J5" i="4" s="1"/>
  <c r="P60" i="1"/>
  <c r="P12" i="28" s="1"/>
  <c r="N60" i="1"/>
  <c r="N12" i="28" s="1"/>
  <c r="K60" i="1"/>
  <c r="K12" i="28" s="1"/>
  <c r="Q62" i="1"/>
  <c r="I60" i="1"/>
  <c r="I12" i="28" s="1"/>
  <c r="Q58" i="1"/>
  <c r="F60" i="1"/>
  <c r="F12" i="28" s="1"/>
  <c r="G60" i="1"/>
  <c r="G12" i="28" s="1"/>
  <c r="Q61" i="1"/>
  <c r="Q56" i="1"/>
  <c r="F63" i="1"/>
  <c r="G63" i="1"/>
  <c r="G13" i="28" s="1"/>
  <c r="H63" i="1"/>
  <c r="H13" i="28" s="1"/>
  <c r="J63" i="1"/>
  <c r="J13" i="28" s="1"/>
  <c r="K63" i="1"/>
  <c r="K13" i="28" s="1"/>
  <c r="L63" i="1"/>
  <c r="L13" i="28" s="1"/>
  <c r="M63" i="1"/>
  <c r="M13" i="28" s="1"/>
  <c r="N63" i="1"/>
  <c r="N13" i="28" s="1"/>
  <c r="O63" i="1"/>
  <c r="O13" i="28" s="1"/>
  <c r="P63" i="1"/>
  <c r="P13" i="28" s="1"/>
  <c r="Q55" i="1"/>
  <c r="I63" i="1"/>
  <c r="I13" i="28" s="1"/>
  <c r="Q23" i="1"/>
  <c r="K34" i="1" s="1"/>
  <c r="Q24" i="1"/>
  <c r="K35" i="1" s="1"/>
  <c r="Q25" i="1"/>
  <c r="Q26" i="1"/>
  <c r="K37" i="1" s="1"/>
  <c r="Q27" i="1"/>
  <c r="Q28" i="1"/>
  <c r="K40" i="1" s="1"/>
  <c r="K33" i="1"/>
  <c r="H68" i="1"/>
  <c r="H69" i="1" s="1"/>
  <c r="I68" i="1"/>
  <c r="I69" i="1" s="1"/>
  <c r="J68" i="1"/>
  <c r="J69" i="1" s="1"/>
  <c r="K68" i="1"/>
  <c r="K69" i="1" s="1"/>
  <c r="L68" i="1"/>
  <c r="L69" i="1" s="1"/>
  <c r="M68" i="1"/>
  <c r="M69" i="1" s="1"/>
  <c r="N68" i="1"/>
  <c r="N69" i="1" s="1"/>
  <c r="O68" i="1"/>
  <c r="O69" i="1" s="1"/>
  <c r="P68" i="1"/>
  <c r="P69" i="1" s="1"/>
  <c r="G70" i="1"/>
  <c r="G71" i="1" s="1"/>
  <c r="H70" i="1"/>
  <c r="H71" i="1" s="1"/>
  <c r="I70" i="1"/>
  <c r="I71" i="1" s="1"/>
  <c r="J70" i="1"/>
  <c r="J71" i="1" s="1"/>
  <c r="K70" i="1"/>
  <c r="K71" i="1" s="1"/>
  <c r="L70" i="1"/>
  <c r="L71" i="1" s="1"/>
  <c r="M70" i="1"/>
  <c r="M71" i="1" s="1"/>
  <c r="N70" i="1"/>
  <c r="N71" i="1" s="1"/>
  <c r="O70" i="1"/>
  <c r="O71" i="1" s="1"/>
  <c r="P70" i="1"/>
  <c r="P71" i="1" s="1"/>
  <c r="G72" i="1"/>
  <c r="G73" i="1" s="1"/>
  <c r="H72" i="1"/>
  <c r="H73" i="1" s="1"/>
  <c r="I72" i="1"/>
  <c r="I73" i="1" s="1"/>
  <c r="J72" i="1"/>
  <c r="J73" i="1" s="1"/>
  <c r="K72" i="1"/>
  <c r="K73" i="1" s="1"/>
  <c r="L72" i="1"/>
  <c r="L73" i="1" s="1"/>
  <c r="M72" i="1"/>
  <c r="M73" i="1" s="1"/>
  <c r="N72" i="1"/>
  <c r="N73" i="1" s="1"/>
  <c r="O72" i="1"/>
  <c r="O73" i="1" s="1"/>
  <c r="P72" i="1"/>
  <c r="P73" i="1" s="1"/>
  <c r="G74" i="1"/>
  <c r="G75" i="1" s="1"/>
  <c r="H74" i="1"/>
  <c r="H75" i="1" s="1"/>
  <c r="I74" i="1"/>
  <c r="I75" i="1" s="1"/>
  <c r="J74" i="1"/>
  <c r="J75" i="1" s="1"/>
  <c r="K74" i="1"/>
  <c r="K75" i="1" s="1"/>
  <c r="L74" i="1"/>
  <c r="L75" i="1" s="1"/>
  <c r="M74" i="1"/>
  <c r="M75" i="1" s="1"/>
  <c r="N74" i="1"/>
  <c r="N75" i="1" s="1"/>
  <c r="O74" i="1"/>
  <c r="O75" i="1" s="1"/>
  <c r="P74" i="1"/>
  <c r="P75" i="1" s="1"/>
  <c r="G76" i="1"/>
  <c r="G77" i="1" s="1"/>
  <c r="H76" i="1"/>
  <c r="H77" i="1" s="1"/>
  <c r="I76" i="1"/>
  <c r="I77" i="1" s="1"/>
  <c r="J76" i="1"/>
  <c r="J77" i="1" s="1"/>
  <c r="K76" i="1"/>
  <c r="K77" i="1" s="1"/>
  <c r="L76" i="1"/>
  <c r="L77" i="1" s="1"/>
  <c r="M76" i="1"/>
  <c r="M77" i="1" s="1"/>
  <c r="N76" i="1"/>
  <c r="N77" i="1" s="1"/>
  <c r="O76" i="1"/>
  <c r="O77" i="1" s="1"/>
  <c r="P76" i="1"/>
  <c r="P77" i="1" s="1"/>
  <c r="G80" i="1"/>
  <c r="G81" i="1" s="1"/>
  <c r="H80" i="1"/>
  <c r="H81" i="1" s="1"/>
  <c r="I80" i="1"/>
  <c r="I81" i="1" s="1"/>
  <c r="J80" i="1"/>
  <c r="J81" i="1" s="1"/>
  <c r="K80" i="1"/>
  <c r="K81" i="1" s="1"/>
  <c r="L80" i="1"/>
  <c r="L81" i="1" s="1"/>
  <c r="M80" i="1"/>
  <c r="M81" i="1" s="1"/>
  <c r="N80" i="1"/>
  <c r="N81" i="1" s="1"/>
  <c r="O80" i="1"/>
  <c r="O81" i="1" s="1"/>
  <c r="P80" i="1"/>
  <c r="P81" i="1" s="1"/>
  <c r="G82" i="1"/>
  <c r="G83" i="1" s="1"/>
  <c r="H82" i="1"/>
  <c r="H83" i="1" s="1"/>
  <c r="I82" i="1"/>
  <c r="I83" i="1" s="1"/>
  <c r="J82" i="1"/>
  <c r="J83" i="1" s="1"/>
  <c r="K82" i="1"/>
  <c r="K83" i="1" s="1"/>
  <c r="L82" i="1"/>
  <c r="L83" i="1" s="1"/>
  <c r="M82" i="1"/>
  <c r="M83" i="1" s="1"/>
  <c r="N82" i="1"/>
  <c r="N83" i="1" s="1"/>
  <c r="O82" i="1"/>
  <c r="O83" i="1" s="1"/>
  <c r="P82" i="1"/>
  <c r="P83" i="1" s="1"/>
  <c r="F70" i="1"/>
  <c r="F71" i="1" s="1"/>
  <c r="F72" i="1"/>
  <c r="F73" i="1" s="1"/>
  <c r="F74" i="1"/>
  <c r="F75" i="1" s="1"/>
  <c r="F76" i="1"/>
  <c r="F77" i="1" s="1"/>
  <c r="F82" i="1"/>
  <c r="F83" i="1" s="1"/>
  <c r="F80" i="1"/>
  <c r="F81" i="1" s="1"/>
  <c r="E82" i="1"/>
  <c r="E83" i="1" s="1"/>
  <c r="H41" i="1" l="1"/>
  <c r="AR23" i="28"/>
  <c r="M20" i="28"/>
  <c r="AN23" i="28"/>
  <c r="I20" i="28"/>
  <c r="AT23" i="28"/>
  <c r="O20" i="28"/>
  <c r="AP23" i="28"/>
  <c r="K20" i="28"/>
  <c r="AS23" i="28"/>
  <c r="N20" i="28"/>
  <c r="AO23" i="28"/>
  <c r="J20" i="28"/>
  <c r="AU23" i="28"/>
  <c r="P20" i="28"/>
  <c r="AQ23" i="28"/>
  <c r="L20" i="28"/>
  <c r="AM23" i="28"/>
  <c r="H20" i="28"/>
  <c r="P17" i="28"/>
  <c r="G18" i="28"/>
  <c r="G16" i="28"/>
  <c r="M17" i="28"/>
  <c r="H17" i="28"/>
  <c r="I16" i="28"/>
  <c r="I18" i="28"/>
  <c r="P16" i="28"/>
  <c r="P18" i="28"/>
  <c r="L16" i="28"/>
  <c r="L18" i="28"/>
  <c r="G17" i="28"/>
  <c r="M16" i="28"/>
  <c r="M18" i="28"/>
  <c r="O17" i="28"/>
  <c r="K17" i="28"/>
  <c r="AK32" i="28"/>
  <c r="F13" i="28"/>
  <c r="F18" i="28" s="1"/>
  <c r="F16" i="28"/>
  <c r="Q12" i="28"/>
  <c r="K18" i="28"/>
  <c r="K16" i="28"/>
  <c r="L17" i="28"/>
  <c r="J16" i="28"/>
  <c r="J18" i="28"/>
  <c r="I17" i="28"/>
  <c r="N17" i="28"/>
  <c r="J17" i="28"/>
  <c r="N16" i="28"/>
  <c r="N18" i="28"/>
  <c r="H16" i="28"/>
  <c r="H18" i="28"/>
  <c r="O16" i="28"/>
  <c r="O18" i="28"/>
  <c r="AR32" i="28"/>
  <c r="AP32" i="28"/>
  <c r="AU32" i="28"/>
  <c r="AT27" i="28"/>
  <c r="AL32" i="28"/>
  <c r="AQ32" i="28"/>
  <c r="AR27" i="28"/>
  <c r="AO32" i="28"/>
  <c r="AM32" i="28"/>
  <c r="AQ27" i="28"/>
  <c r="AO27" i="28"/>
  <c r="AT32" i="28"/>
  <c r="AS32" i="28"/>
  <c r="AK27" i="28"/>
  <c r="AN27" i="28"/>
  <c r="AP27" i="28"/>
  <c r="AS27" i="28"/>
  <c r="AU27" i="28"/>
  <c r="AN32" i="28"/>
  <c r="AL27" i="28"/>
  <c r="AM27" i="28"/>
  <c r="O40" i="1"/>
  <c r="O35" i="1"/>
  <c r="O33" i="1"/>
  <c r="AJ38" i="28"/>
  <c r="AR17" i="1"/>
  <c r="AQ17" i="1"/>
  <c r="AS17" i="1"/>
  <c r="AN17" i="1"/>
  <c r="AM17" i="1"/>
  <c r="AL17" i="1"/>
  <c r="AJ16" i="1"/>
  <c r="AP17" i="1"/>
  <c r="AI15" i="1"/>
  <c r="AO17" i="1"/>
  <c r="AT17" i="1"/>
  <c r="AI10" i="28"/>
  <c r="AM15" i="1"/>
  <c r="AO15" i="1"/>
  <c r="AM16" i="1"/>
  <c r="AT16" i="1"/>
  <c r="AJ15" i="1"/>
  <c r="AR16" i="1"/>
  <c r="AT15" i="1"/>
  <c r="AS16" i="1"/>
  <c r="AQ16" i="1"/>
  <c r="AP16" i="1"/>
  <c r="AN16" i="1"/>
  <c r="AP15" i="1"/>
  <c r="AL16" i="1"/>
  <c r="AI16" i="1"/>
  <c r="AK15" i="1"/>
  <c r="AR15" i="1"/>
  <c r="AL15" i="1"/>
  <c r="AN15" i="1"/>
  <c r="AS15" i="1"/>
  <c r="AO16" i="1"/>
  <c r="AQ15" i="1"/>
  <c r="AK16" i="1"/>
  <c r="D7" i="8"/>
  <c r="H7" i="8" s="1"/>
  <c r="O34" i="1"/>
  <c r="O84" i="1"/>
  <c r="N84" i="1"/>
  <c r="D10" i="8"/>
  <c r="H10" i="8" s="1"/>
  <c r="O37" i="1"/>
  <c r="K84" i="1"/>
  <c r="F64" i="1"/>
  <c r="F14" i="28" s="1"/>
  <c r="E84" i="1"/>
  <c r="J84" i="1"/>
  <c r="P84" i="1"/>
  <c r="M84" i="1"/>
  <c r="I84" i="1"/>
  <c r="F84" i="1"/>
  <c r="H84" i="1"/>
  <c r="G84" i="1"/>
  <c r="L84" i="1"/>
  <c r="K78" i="1"/>
  <c r="K79" i="1" s="1"/>
  <c r="M78" i="1"/>
  <c r="M79" i="1" s="1"/>
  <c r="L78" i="1"/>
  <c r="L79" i="1" s="1"/>
  <c r="J78" i="1"/>
  <c r="J79" i="1" s="1"/>
  <c r="G78" i="1"/>
  <c r="G79" i="1" s="1"/>
  <c r="F78" i="1"/>
  <c r="F79" i="1" s="1"/>
  <c r="P78" i="1"/>
  <c r="P79" i="1" s="1"/>
  <c r="O78" i="1"/>
  <c r="O79" i="1" s="1"/>
  <c r="I78" i="1"/>
  <c r="I79" i="1" s="1"/>
  <c r="H78" i="1"/>
  <c r="H79" i="1" s="1"/>
  <c r="N78" i="1"/>
  <c r="N79" i="1" s="1"/>
  <c r="O64" i="1"/>
  <c r="O14" i="28" s="1"/>
  <c r="D6" i="8"/>
  <c r="D8" i="8"/>
  <c r="H8" i="8" s="1"/>
  <c r="F21" i="18"/>
  <c r="G21" i="18" s="1"/>
  <c r="J7" i="4"/>
  <c r="F23" i="18"/>
  <c r="G23" i="18" s="1"/>
  <c r="H33" i="1"/>
  <c r="K36" i="1"/>
  <c r="H35" i="1"/>
  <c r="H34" i="1"/>
  <c r="H38" i="1" s="1"/>
  <c r="W18" i="13"/>
  <c r="K39" i="1"/>
  <c r="H36" i="1"/>
  <c r="G64" i="1"/>
  <c r="G14" i="28" s="1"/>
  <c r="H64" i="1"/>
  <c r="H14" i="28" s="1"/>
  <c r="Q72" i="1"/>
  <c r="Q73" i="1" s="1"/>
  <c r="N64" i="1"/>
  <c r="N14" i="28" s="1"/>
  <c r="Q68" i="1"/>
  <c r="D13" i="8"/>
  <c r="H13" i="8" s="1"/>
  <c r="I64" i="1"/>
  <c r="I14" i="28" s="1"/>
  <c r="Q82" i="1"/>
  <c r="Q83" i="1" s="1"/>
  <c r="Q70" i="1"/>
  <c r="Q71" i="1" s="1"/>
  <c r="Q80" i="1"/>
  <c r="Q81" i="1" s="1"/>
  <c r="P64" i="1"/>
  <c r="P14" i="28" s="1"/>
  <c r="M64" i="1"/>
  <c r="M14" i="28" s="1"/>
  <c r="L64" i="1"/>
  <c r="L14" i="28" s="1"/>
  <c r="K64" i="1"/>
  <c r="K14" i="28" s="1"/>
  <c r="J64" i="1"/>
  <c r="J14" i="28" s="1"/>
  <c r="Q63" i="1"/>
  <c r="AJ40" i="28" s="1"/>
  <c r="AM51" i="28" s="1"/>
  <c r="Q60" i="1"/>
  <c r="AJ39" i="28" s="1"/>
  <c r="Q76" i="1"/>
  <c r="Q77" i="1" s="1"/>
  <c r="Q74" i="1"/>
  <c r="Q75" i="1" s="1"/>
  <c r="I42" i="1" l="1"/>
  <c r="G43" i="1" s="1"/>
  <c r="P24" i="28"/>
  <c r="P30" i="28" s="1"/>
  <c r="P85" i="1"/>
  <c r="K24" i="28"/>
  <c r="K30" i="28" s="1"/>
  <c r="K85" i="1"/>
  <c r="G24" i="28"/>
  <c r="G30" i="28" s="1"/>
  <c r="G85" i="1"/>
  <c r="F24" i="28"/>
  <c r="F30" i="28" s="1"/>
  <c r="F85" i="1"/>
  <c r="I24" i="28"/>
  <c r="I30" i="28" s="1"/>
  <c r="I85" i="1"/>
  <c r="E24" i="28"/>
  <c r="E25" i="28" s="1"/>
  <c r="E85" i="1"/>
  <c r="E86" i="1"/>
  <c r="E87" i="1" s="1"/>
  <c r="N24" i="28"/>
  <c r="N30" i="28" s="1"/>
  <c r="N85" i="1"/>
  <c r="O24" i="28"/>
  <c r="O30" i="28" s="1"/>
  <c r="O85" i="1"/>
  <c r="AJ43" i="28"/>
  <c r="AM55" i="28" s="1"/>
  <c r="Q69" i="1"/>
  <c r="L24" i="28"/>
  <c r="L30" i="28" s="1"/>
  <c r="L85" i="1"/>
  <c r="M24" i="28"/>
  <c r="M30" i="28" s="1"/>
  <c r="M85" i="1"/>
  <c r="H24" i="28"/>
  <c r="H30" i="28" s="1"/>
  <c r="H85" i="1"/>
  <c r="J24" i="28"/>
  <c r="J30" i="28" s="1"/>
  <c r="J85" i="1"/>
  <c r="N4" i="34"/>
  <c r="N4" i="21"/>
  <c r="H6" i="8"/>
  <c r="G7" i="11" s="1"/>
  <c r="I10" i="11"/>
  <c r="AM28" i="28"/>
  <c r="H22" i="28"/>
  <c r="AT28" i="28"/>
  <c r="O22" i="28"/>
  <c r="AO28" i="28"/>
  <c r="J22" i="28"/>
  <c r="AR28" i="28"/>
  <c r="M22" i="28"/>
  <c r="H28" i="28"/>
  <c r="H32" i="28"/>
  <c r="H21" i="28"/>
  <c r="Q20" i="28"/>
  <c r="P28" i="28"/>
  <c r="P32" i="28"/>
  <c r="P21" i="28"/>
  <c r="N28" i="28"/>
  <c r="N32" i="28"/>
  <c r="N21" i="28"/>
  <c r="O28" i="28"/>
  <c r="O32" i="28"/>
  <c r="O21" i="28"/>
  <c r="M28" i="28"/>
  <c r="M32" i="28"/>
  <c r="M21" i="28"/>
  <c r="AS28" i="28"/>
  <c r="N22" i="28"/>
  <c r="AU28" i="28"/>
  <c r="P22" i="28"/>
  <c r="AL28" i="28"/>
  <c r="G22" i="28"/>
  <c r="AQ28" i="28"/>
  <c r="L22" i="28"/>
  <c r="AP28" i="28"/>
  <c r="K22" i="28"/>
  <c r="L28" i="28"/>
  <c r="L32" i="28"/>
  <c r="L21" i="28"/>
  <c r="J28" i="28"/>
  <c r="J32" i="28"/>
  <c r="J21" i="28"/>
  <c r="K28" i="28"/>
  <c r="K32" i="28"/>
  <c r="K21" i="28"/>
  <c r="I28" i="28"/>
  <c r="I32" i="28"/>
  <c r="I21" i="28"/>
  <c r="AK28" i="28"/>
  <c r="F22" i="28"/>
  <c r="AN28" i="28"/>
  <c r="I22" i="28"/>
  <c r="Q18" i="28"/>
  <c r="Q14" i="28"/>
  <c r="AI6" i="28" s="1"/>
  <c r="Q16" i="28"/>
  <c r="F17" i="28"/>
  <c r="Q17" i="28" s="1"/>
  <c r="Q13" i="28"/>
  <c r="AI18" i="28" s="1"/>
  <c r="Q64" i="1"/>
  <c r="B6" i="28" s="1"/>
  <c r="AN19" i="1"/>
  <c r="AO33" i="28"/>
  <c r="AI19" i="1"/>
  <c r="AJ33" i="28"/>
  <c r="AO19" i="1"/>
  <c r="AP33" i="28"/>
  <c r="AP19" i="1"/>
  <c r="AQ33" i="28"/>
  <c r="AS19" i="1"/>
  <c r="AT33" i="28"/>
  <c r="AT19" i="1"/>
  <c r="AU33" i="28"/>
  <c r="AK19" i="1"/>
  <c r="AL33" i="28"/>
  <c r="AR19" i="1"/>
  <c r="AS33" i="28"/>
  <c r="AJ19" i="1"/>
  <c r="AK33" i="28"/>
  <c r="AM19" i="1"/>
  <c r="AN33" i="28"/>
  <c r="AL19" i="1"/>
  <c r="AM33" i="28"/>
  <c r="AQ19" i="1"/>
  <c r="AR33" i="28"/>
  <c r="AM50" i="28"/>
  <c r="AJ50" i="28"/>
  <c r="AM49" i="28"/>
  <c r="AJ51" i="28"/>
  <c r="AS18" i="1"/>
  <c r="AK18" i="1"/>
  <c r="AJ18" i="1"/>
  <c r="AN18" i="1"/>
  <c r="AP18" i="1"/>
  <c r="AI14" i="28"/>
  <c r="AR18" i="1"/>
  <c r="AO18" i="1"/>
  <c r="AT18" i="1"/>
  <c r="AL18" i="1"/>
  <c r="AM18" i="1"/>
  <c r="AQ18" i="1"/>
  <c r="AJ9" i="1"/>
  <c r="D12" i="8"/>
  <c r="H12" i="8" s="1"/>
  <c r="O39" i="1"/>
  <c r="O41" i="1" s="1"/>
  <c r="AK9" i="1"/>
  <c r="O86" i="1"/>
  <c r="D9" i="8"/>
  <c r="H9" i="8" s="1"/>
  <c r="O36" i="1"/>
  <c r="O38" i="1" s="1"/>
  <c r="M16" i="25"/>
  <c r="M18" i="25"/>
  <c r="N86" i="1"/>
  <c r="Q78" i="1"/>
  <c r="AS9" i="1"/>
  <c r="AK18" i="13"/>
  <c r="AL9" i="1"/>
  <c r="L86" i="1"/>
  <c r="K86" i="1"/>
  <c r="J86" i="1"/>
  <c r="I86" i="1"/>
  <c r="M86" i="1"/>
  <c r="AM9" i="1"/>
  <c r="P86" i="1"/>
  <c r="AR9" i="1"/>
  <c r="G86" i="1"/>
  <c r="H86" i="1"/>
  <c r="AQ9" i="1"/>
  <c r="AN9" i="1"/>
  <c r="AO9" i="1"/>
  <c r="AP9" i="1"/>
  <c r="AT9" i="1"/>
  <c r="AI9" i="1"/>
  <c r="F86" i="1"/>
  <c r="Q84" i="1"/>
  <c r="AJ57" i="28" l="1"/>
  <c r="N18" i="25"/>
  <c r="N17" i="25" s="1"/>
  <c r="F6" i="25" s="1"/>
  <c r="AD18" i="25"/>
  <c r="E26" i="28"/>
  <c r="G25" i="28"/>
  <c r="P25" i="28"/>
  <c r="P42" i="1"/>
  <c r="I25" i="28"/>
  <c r="E30" i="28"/>
  <c r="K25" i="28"/>
  <c r="N25" i="28"/>
  <c r="F7" i="11"/>
  <c r="D37" i="18" s="1"/>
  <c r="O25" i="28"/>
  <c r="J25" i="28"/>
  <c r="E31" i="28"/>
  <c r="U19" i="25"/>
  <c r="N20" i="34"/>
  <c r="N22" i="21" a="1"/>
  <c r="N22" i="21" s="1"/>
  <c r="O26" i="28"/>
  <c r="O27" i="28" s="1"/>
  <c r="O87" i="1"/>
  <c r="L25" i="28"/>
  <c r="F26" i="28"/>
  <c r="F27" i="28" s="1"/>
  <c r="F87" i="1"/>
  <c r="Q24" i="28"/>
  <c r="Q30" i="28" s="1"/>
  <c r="P26" i="28"/>
  <c r="P27" i="28" s="1"/>
  <c r="P87" i="1"/>
  <c r="H25" i="28"/>
  <c r="J26" i="28"/>
  <c r="J27" i="28" s="1"/>
  <c r="J87" i="1"/>
  <c r="N16" i="25"/>
  <c r="AD16" i="25"/>
  <c r="AE16" i="25" s="1"/>
  <c r="AP57" i="28"/>
  <c r="G26" i="28"/>
  <c r="G27" i="28" s="1"/>
  <c r="G87" i="1"/>
  <c r="I26" i="28"/>
  <c r="I27" i="28" s="1"/>
  <c r="I87" i="1"/>
  <c r="H26" i="28"/>
  <c r="H27" i="28" s="1"/>
  <c r="H87" i="1"/>
  <c r="M26" i="28"/>
  <c r="M27" i="28" s="1"/>
  <c r="M87" i="1"/>
  <c r="L26" i="28"/>
  <c r="L27" i="28" s="1"/>
  <c r="L87" i="1"/>
  <c r="F25" i="28"/>
  <c r="AJ45" i="28"/>
  <c r="AP56" i="28" s="1"/>
  <c r="Q85" i="1"/>
  <c r="K26" i="28"/>
  <c r="K27" i="28" s="1"/>
  <c r="K87" i="1"/>
  <c r="Q25" i="28"/>
  <c r="AJ44" i="28"/>
  <c r="AP55" i="28" s="1"/>
  <c r="Q79" i="1"/>
  <c r="N26" i="28"/>
  <c r="N27" i="28" s="1"/>
  <c r="N87" i="1"/>
  <c r="M25" i="28"/>
  <c r="Z22" i="25" a="1"/>
  <c r="Z22" i="25" s="1"/>
  <c r="AI22" i="25" s="1"/>
  <c r="Z26" i="25" a="1"/>
  <c r="Z26" i="25" s="1"/>
  <c r="AI26" i="25" s="1"/>
  <c r="Z21" i="25" a="1"/>
  <c r="Z21" i="25" s="1"/>
  <c r="AI21" i="25" s="1"/>
  <c r="Z18" i="25" a="1"/>
  <c r="Z18" i="25" s="1"/>
  <c r="Z24" i="25" a="1"/>
  <c r="Z24" i="25" s="1"/>
  <c r="AI24" i="25" s="1"/>
  <c r="Z16" i="25" a="1"/>
  <c r="Z16" i="25" s="1"/>
  <c r="Z20" i="25" a="1"/>
  <c r="Z20" i="25" s="1"/>
  <c r="AI20" i="25" s="1"/>
  <c r="Z27" i="25" a="1"/>
  <c r="Z27" i="25" s="1"/>
  <c r="AI27" i="25" s="1"/>
  <c r="Z25" i="25" a="1"/>
  <c r="Z25" i="25" s="1"/>
  <c r="AI25" i="25" s="1"/>
  <c r="Z23" i="25" a="1"/>
  <c r="Z23" i="25" s="1"/>
  <c r="AI23" i="25" s="1"/>
  <c r="Z15" i="25" a="1"/>
  <c r="Z15" i="25" s="1"/>
  <c r="Z19" i="25" a="1"/>
  <c r="Z19" i="25" s="1"/>
  <c r="U16" i="25"/>
  <c r="U18" i="25"/>
  <c r="F6" i="34"/>
  <c r="F6" i="20"/>
  <c r="F6" i="21"/>
  <c r="G6" i="21" s="1"/>
  <c r="F71" i="18" s="1"/>
  <c r="F6" i="17"/>
  <c r="D57" i="18" s="1"/>
  <c r="G6" i="12"/>
  <c r="E64" i="18" s="1"/>
  <c r="F6" i="12"/>
  <c r="D64" i="18" s="1"/>
  <c r="AS15" i="13"/>
  <c r="W15" i="13" s="1"/>
  <c r="G6" i="16"/>
  <c r="E50" i="18" s="1"/>
  <c r="G6" i="4"/>
  <c r="F6" i="7"/>
  <c r="D29" i="18" s="1"/>
  <c r="AY15" i="13"/>
  <c r="AK15" i="13" s="1"/>
  <c r="G6" i="17"/>
  <c r="E57" i="18" s="1"/>
  <c r="G6" i="7"/>
  <c r="F6" i="4"/>
  <c r="F6" i="16"/>
  <c r="M15" i="25"/>
  <c r="AD15" i="25" s="1"/>
  <c r="AE15" i="25" s="1"/>
  <c r="F8" i="9"/>
  <c r="G8" i="9"/>
  <c r="E15" i="18" s="1"/>
  <c r="AY17" i="13"/>
  <c r="AK17" i="13" s="1"/>
  <c r="AS17" i="13"/>
  <c r="W17" i="13" s="1"/>
  <c r="W16" i="13" s="1"/>
  <c r="F5" i="13" s="1"/>
  <c r="I29" i="28"/>
  <c r="I31" i="28"/>
  <c r="I23" i="28"/>
  <c r="N31" i="28"/>
  <c r="N29" i="28"/>
  <c r="N23" i="28"/>
  <c r="F31" i="28"/>
  <c r="F29" i="28"/>
  <c r="Q22" i="28"/>
  <c r="F23" i="28"/>
  <c r="K31" i="28"/>
  <c r="K29" i="28"/>
  <c r="K23" i="28"/>
  <c r="G31" i="28"/>
  <c r="G29" i="28"/>
  <c r="G23" i="28"/>
  <c r="M31" i="28"/>
  <c r="M29" i="28"/>
  <c r="M23" i="28"/>
  <c r="O29" i="28"/>
  <c r="O31" i="28"/>
  <c r="O23" i="28"/>
  <c r="L29" i="28"/>
  <c r="L31" i="28"/>
  <c r="L23" i="28"/>
  <c r="P31" i="28"/>
  <c r="P29" i="28"/>
  <c r="P23" i="28"/>
  <c r="E27" i="28"/>
  <c r="Q28" i="28"/>
  <c r="Q21" i="28"/>
  <c r="J29" i="28"/>
  <c r="J31" i="28"/>
  <c r="J23" i="28"/>
  <c r="H29" i="28"/>
  <c r="H31" i="28"/>
  <c r="H23" i="28"/>
  <c r="G44" i="1"/>
  <c r="AA24" i="26"/>
  <c r="AA23" i="26"/>
  <c r="AA25" i="26"/>
  <c r="AA26" i="26"/>
  <c r="AA22" i="26"/>
  <c r="AA21" i="26"/>
  <c r="AA18" i="26"/>
  <c r="AA20" i="26"/>
  <c r="AA19" i="26"/>
  <c r="AA15" i="26"/>
  <c r="AA17" i="26"/>
  <c r="V15" i="26"/>
  <c r="V17" i="26"/>
  <c r="V23" i="26"/>
  <c r="V21" i="26"/>
  <c r="V20" i="26"/>
  <c r="V22" i="26"/>
  <c r="V19" i="26"/>
  <c r="V18" i="26"/>
  <c r="V24" i="26"/>
  <c r="V26" i="26"/>
  <c r="V25" i="26"/>
  <c r="D45" i="1"/>
  <c r="AJ10" i="28"/>
  <c r="AI10" i="1"/>
  <c r="AS10" i="1"/>
  <c r="Q32" i="28"/>
  <c r="K15" i="26"/>
  <c r="L15" i="26" s="1"/>
  <c r="K17" i="26"/>
  <c r="D7" i="18"/>
  <c r="E7" i="18" s="1"/>
  <c r="F7" i="18" s="1"/>
  <c r="E37" i="18"/>
  <c r="AR10" i="1"/>
  <c r="AT10" i="1"/>
  <c r="AM10" i="1"/>
  <c r="AQ10" i="1"/>
  <c r="AN10" i="1"/>
  <c r="AO10" i="1"/>
  <c r="Q86" i="1"/>
  <c r="AP10" i="1"/>
  <c r="AN18" i="13"/>
  <c r="AK10" i="1"/>
  <c r="AL10" i="1"/>
  <c r="AJ10" i="1"/>
  <c r="D47" i="1"/>
  <c r="D46" i="1"/>
  <c r="AM57" i="28" l="1"/>
  <c r="U17" i="25"/>
  <c r="AI19" i="25"/>
  <c r="AE18" i="25"/>
  <c r="AE17" i="25" s="1"/>
  <c r="AD17" i="25"/>
  <c r="AM56" i="28"/>
  <c r="AD25" i="26"/>
  <c r="AD26" i="26"/>
  <c r="AD23" i="26"/>
  <c r="AD20" i="26"/>
  <c r="AD22" i="26"/>
  <c r="AD15" i="26"/>
  <c r="AJ18" i="28"/>
  <c r="AD21" i="26"/>
  <c r="AD24" i="26"/>
  <c r="AI16" i="25"/>
  <c r="AD19" i="26"/>
  <c r="D92" i="18"/>
  <c r="G6" i="20"/>
  <c r="F85" i="18" s="1"/>
  <c r="E85" i="18"/>
  <c r="AN15" i="13"/>
  <c r="F6" i="28"/>
  <c r="N6" i="28" s="1"/>
  <c r="Q87" i="1"/>
  <c r="AJ56" i="28"/>
  <c r="Q26" i="28"/>
  <c r="Q27" i="28" s="1"/>
  <c r="H6" i="7"/>
  <c r="I6" i="7" s="1"/>
  <c r="N15" i="25"/>
  <c r="AI15" i="25" s="1"/>
  <c r="H6" i="4"/>
  <c r="J6" i="4" s="1"/>
  <c r="D22" i="18"/>
  <c r="D15" i="18"/>
  <c r="H8" i="9"/>
  <c r="F15" i="18" s="1"/>
  <c r="E78" i="18"/>
  <c r="G6" i="34"/>
  <c r="F78" i="18" s="1"/>
  <c r="Z17" i="25"/>
  <c r="H6" i="16"/>
  <c r="I6" i="16" s="1"/>
  <c r="D50" i="18"/>
  <c r="D43" i="18"/>
  <c r="AN17" i="13"/>
  <c r="AN16" i="13" s="1"/>
  <c r="AK16" i="13"/>
  <c r="G5" i="13" s="1"/>
  <c r="Q31" i="28"/>
  <c r="Q29" i="28"/>
  <c r="Q23" i="28"/>
  <c r="N44" i="1"/>
  <c r="N43" i="1"/>
  <c r="AA16" i="26"/>
  <c r="AQ56" i="28"/>
  <c r="AR56" i="28"/>
  <c r="AQ57" i="28"/>
  <c r="AR55" i="28"/>
  <c r="AQ55" i="28"/>
  <c r="H6" i="12"/>
  <c r="F64" i="18" s="1"/>
  <c r="G64" i="18" s="1"/>
  <c r="AJ14" i="28"/>
  <c r="E22" i="18"/>
  <c r="H6" i="17"/>
  <c r="I6" i="17" s="1"/>
  <c r="E29" i="18"/>
  <c r="K45" i="1"/>
  <c r="V16" i="26"/>
  <c r="K16" i="26"/>
  <c r="L17" i="26"/>
  <c r="AD17" i="26" s="1"/>
  <c r="H7" i="11"/>
  <c r="I7" i="11" s="1"/>
  <c r="K46" i="1"/>
  <c r="E69" i="18"/>
  <c r="E71" i="18"/>
  <c r="E72" i="18"/>
  <c r="E6" i="18" s="1"/>
  <c r="F6" i="18" s="1"/>
  <c r="E70" i="18"/>
  <c r="K47" i="1"/>
  <c r="G6" i="25" l="1"/>
  <c r="AI18" i="25"/>
  <c r="AJ6" i="28"/>
  <c r="J6" i="28"/>
  <c r="AI17" i="25"/>
  <c r="H6" i="25" s="1"/>
  <c r="F92" i="18" s="1"/>
  <c r="G15" i="18"/>
  <c r="D5" i="18"/>
  <c r="I8" i="9"/>
  <c r="F29" i="18"/>
  <c r="G29" i="18" s="1"/>
  <c r="F22" i="18"/>
  <c r="G22" i="18" s="1"/>
  <c r="E43" i="18"/>
  <c r="E5" i="18" s="1"/>
  <c r="H5" i="13"/>
  <c r="I6" i="12"/>
  <c r="G6" i="26"/>
  <c r="E99" i="18" s="1"/>
  <c r="F50" i="18"/>
  <c r="G50" i="18" s="1"/>
  <c r="F57" i="18"/>
  <c r="G57" i="18" s="1"/>
  <c r="F37" i="18"/>
  <c r="G37" i="18" s="1"/>
  <c r="I6" i="25" l="1"/>
  <c r="G92" i="18" s="1"/>
  <c r="E92" i="18"/>
  <c r="F43" i="18"/>
  <c r="G43" i="18" s="1"/>
  <c r="I5" i="13"/>
  <c r="L18" i="26" l="1"/>
  <c r="L16" i="26" l="1"/>
  <c r="AD16" i="26" s="1"/>
  <c r="AD18" i="26"/>
  <c r="F6" i="26" l="1"/>
  <c r="D99" i="18" s="1"/>
  <c r="G6" i="18"/>
  <c r="F5" i="18"/>
  <c r="G5" i="18" s="1"/>
  <c r="H6" i="26" l="1"/>
  <c r="I6" i="26" s="1"/>
  <c r="G4" i="18"/>
  <c r="G7" i="18"/>
  <c r="AH17" i="25"/>
  <c r="F99" i="18" l="1"/>
  <c r="G99" i="18" s="1"/>
  <c r="G4" i="36"/>
  <c r="G13" i="36" s="1"/>
  <c r="G3" i="35"/>
  <c r="G18" i="35" s="1"/>
  <c r="C3" i="35"/>
  <c r="C18" i="35" s="1"/>
  <c r="E4" i="36"/>
  <c r="E13"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<sst xmlns="http://schemas.openxmlformats.org/spreadsheetml/2006/main" count="3674" uniqueCount="1209">
  <si>
    <t>購入電力</t>
    <rPh sb="0" eb="4">
      <t>コウニュウデンリョク</t>
    </rPh>
    <phoneticPr fontId="2"/>
  </si>
  <si>
    <t>灯油</t>
    <rPh sb="0" eb="2">
      <t>トウユ</t>
    </rPh>
    <phoneticPr fontId="2"/>
  </si>
  <si>
    <t>A重油</t>
    <rPh sb="1" eb="3">
      <t>ジュウユ</t>
    </rPh>
    <phoneticPr fontId="2"/>
  </si>
  <si>
    <t>都市ガス</t>
    <rPh sb="0" eb="2">
      <t>トシ</t>
    </rPh>
    <phoneticPr fontId="1"/>
  </si>
  <si>
    <t>燃料</t>
    <rPh sb="0" eb="2">
      <t>ネンリョウ</t>
    </rPh>
    <phoneticPr fontId="2"/>
  </si>
  <si>
    <t>合計</t>
    <rPh sb="0" eb="2">
      <t>ゴウケイ</t>
    </rPh>
    <phoneticPr fontId="2"/>
  </si>
  <si>
    <t>kWh</t>
    <phoneticPr fontId="2"/>
  </si>
  <si>
    <t>単位</t>
    <rPh sb="0" eb="2">
      <t>タンイ</t>
    </rPh>
    <phoneticPr fontId="2"/>
  </si>
  <si>
    <t>L</t>
    <phoneticPr fontId="2"/>
  </si>
  <si>
    <t>年間使用量</t>
    <rPh sb="0" eb="5">
      <t>ネンカンシヨウリョウ</t>
    </rPh>
    <phoneticPr fontId="2"/>
  </si>
  <si>
    <t>kWh/月</t>
    <rPh sb="4" eb="5">
      <t>ツキ</t>
    </rPh>
    <phoneticPr fontId="2"/>
  </si>
  <si>
    <t>排出係数</t>
    <rPh sb="0" eb="4">
      <t>ハイシュツケイスウ</t>
    </rPh>
    <phoneticPr fontId="2"/>
  </si>
  <si>
    <t>使用量</t>
    <rPh sb="0" eb="3">
      <t>シヨウリョウ</t>
    </rPh>
    <phoneticPr fontId="2"/>
  </si>
  <si>
    <t>自動車燃料</t>
    <rPh sb="0" eb="3">
      <t>ジドウシャ</t>
    </rPh>
    <rPh sb="3" eb="5">
      <t>ネンリョウ</t>
    </rPh>
    <phoneticPr fontId="2"/>
  </si>
  <si>
    <t>ガソリン</t>
    <phoneticPr fontId="2"/>
  </si>
  <si>
    <t>項目</t>
    <rPh sb="0" eb="2">
      <t>コウモク</t>
    </rPh>
    <phoneticPr fontId="2"/>
  </si>
  <si>
    <t>軽油</t>
    <rPh sb="0" eb="2">
      <t>ケイユ</t>
    </rPh>
    <phoneticPr fontId="2"/>
  </si>
  <si>
    <t>令和</t>
    <rPh sb="0" eb="2">
      <t>レイワ</t>
    </rPh>
    <phoneticPr fontId="2"/>
  </si>
  <si>
    <t>年度</t>
    <rPh sb="0" eb="2">
      <t>ネンド</t>
    </rPh>
    <phoneticPr fontId="2"/>
  </si>
  <si>
    <t>CO2排出量(kg-CO2)</t>
    <phoneticPr fontId="2"/>
  </si>
  <si>
    <t>項目</t>
    <rPh sb="0" eb="2">
      <t>コウモク</t>
    </rPh>
    <phoneticPr fontId="2"/>
  </si>
  <si>
    <r>
      <t>購入電力によるCO</t>
    </r>
    <r>
      <rPr>
        <vertAlign val="subscript"/>
        <sz val="11"/>
        <color theme="1"/>
        <rFont val="ＭＳ Ｐゴシック"/>
        <family val="3"/>
        <charset val="128"/>
      </rPr>
      <t>2</t>
    </r>
    <r>
      <rPr>
        <sz val="11"/>
        <color theme="1"/>
        <rFont val="ＭＳ Ｐゴシック"/>
        <family val="3"/>
        <charset val="128"/>
      </rPr>
      <t>排出量</t>
    </r>
    <rPh sb="0" eb="4">
      <t>コウニュウデンリョク</t>
    </rPh>
    <rPh sb="10" eb="12">
      <t>ハイシュツ</t>
    </rPh>
    <rPh sb="12" eb="13">
      <t>リョウ</t>
    </rPh>
    <phoneticPr fontId="2"/>
  </si>
  <si>
    <r>
      <t>燃料によるCO</t>
    </r>
    <r>
      <rPr>
        <vertAlign val="subscript"/>
        <sz val="11"/>
        <color theme="1"/>
        <rFont val="ＭＳ Ｐゴシック"/>
        <family val="3"/>
        <charset val="128"/>
      </rPr>
      <t>2</t>
    </r>
    <r>
      <rPr>
        <sz val="11"/>
        <color theme="1"/>
        <rFont val="ＭＳ Ｐゴシック"/>
        <family val="3"/>
        <charset val="128"/>
      </rPr>
      <t>排出量</t>
    </r>
    <rPh sb="0" eb="2">
      <t>ネンリョウ</t>
    </rPh>
    <rPh sb="8" eb="10">
      <t>ハイシュツ</t>
    </rPh>
    <rPh sb="10" eb="11">
      <t>リョウ</t>
    </rPh>
    <phoneticPr fontId="2"/>
  </si>
  <si>
    <r>
      <t>自動車燃料によるCO</t>
    </r>
    <r>
      <rPr>
        <vertAlign val="subscript"/>
        <sz val="11"/>
        <color theme="1"/>
        <rFont val="ＭＳ Ｐゴシック"/>
        <family val="3"/>
        <charset val="128"/>
      </rPr>
      <t>2</t>
    </r>
    <r>
      <rPr>
        <sz val="11"/>
        <color theme="1"/>
        <rFont val="ＭＳ Ｐゴシック"/>
        <family val="3"/>
        <charset val="128"/>
      </rPr>
      <t>排出量</t>
    </r>
    <rPh sb="0" eb="3">
      <t>ジドウシャ</t>
    </rPh>
    <rPh sb="3" eb="5">
      <t>ネンリョウ</t>
    </rPh>
    <rPh sb="11" eb="13">
      <t>ハイシュツ</t>
    </rPh>
    <rPh sb="13" eb="14">
      <t>リョウ</t>
    </rPh>
    <phoneticPr fontId="2"/>
  </si>
  <si>
    <r>
      <t>CO</t>
    </r>
    <r>
      <rPr>
        <vertAlign val="subscript"/>
        <sz val="11"/>
        <rFont val="ＭＳ Ｐゴシック"/>
        <family val="3"/>
        <charset val="128"/>
      </rPr>
      <t>2</t>
    </r>
    <r>
      <rPr>
        <sz val="11"/>
        <rFont val="ＭＳ Ｐゴシック"/>
        <family val="3"/>
        <charset val="128"/>
      </rPr>
      <t>排出量の総計</t>
    </r>
    <rPh sb="3" eb="5">
      <t>ハイシュツ</t>
    </rPh>
    <rPh sb="5" eb="6">
      <t>リョウ</t>
    </rPh>
    <rPh sb="7" eb="9">
      <t>ソウケイ</t>
    </rPh>
    <phoneticPr fontId="2"/>
  </si>
  <si>
    <r>
      <t>CO</t>
    </r>
    <r>
      <rPr>
        <vertAlign val="subscript"/>
        <sz val="11"/>
        <color theme="1"/>
        <rFont val="ＭＳ Ｐゴシック"/>
        <family val="3"/>
        <charset val="128"/>
      </rPr>
      <t>2</t>
    </r>
    <r>
      <rPr>
        <sz val="11"/>
        <color theme="1"/>
        <rFont val="ＭＳ Ｐゴシック"/>
        <family val="3"/>
        <charset val="128"/>
      </rPr>
      <t>排出量</t>
    </r>
    <rPh sb="3" eb="6">
      <t>ハイシュツリョウ</t>
    </rPh>
    <phoneticPr fontId="2"/>
  </si>
  <si>
    <t>L/月</t>
    <phoneticPr fontId="2"/>
  </si>
  <si>
    <t>期間</t>
    <rPh sb="0" eb="2">
      <t>キカン</t>
    </rPh>
    <phoneticPr fontId="2"/>
  </si>
  <si>
    <t>自動車燃料</t>
    <rPh sb="0" eb="5">
      <t>ジドウシャネンリョウ</t>
    </rPh>
    <phoneticPr fontId="2"/>
  </si>
  <si>
    <t>事業所名</t>
    <rPh sb="0" eb="3">
      <t>ジギョウショ</t>
    </rPh>
    <rPh sb="3" eb="4">
      <t>メイ</t>
    </rPh>
    <phoneticPr fontId="2"/>
  </si>
  <si>
    <t>代表者職・氏名</t>
    <rPh sb="0" eb="3">
      <t>ダイヒョウシャ</t>
    </rPh>
    <rPh sb="3" eb="4">
      <t>ショク</t>
    </rPh>
    <rPh sb="5" eb="7">
      <t>シメイ</t>
    </rPh>
    <phoneticPr fontId="2"/>
  </si>
  <si>
    <t>創 立 年</t>
    <rPh sb="0" eb="1">
      <t>ソウ</t>
    </rPh>
    <rPh sb="2" eb="3">
      <t>リツ</t>
    </rPh>
    <rPh sb="4" eb="5">
      <t>ネン</t>
    </rPh>
    <phoneticPr fontId="2"/>
  </si>
  <si>
    <t>資 本 金</t>
    <rPh sb="0" eb="1">
      <t>シ</t>
    </rPh>
    <rPh sb="2" eb="3">
      <t>ホン</t>
    </rPh>
    <rPh sb="4" eb="5">
      <t>キン</t>
    </rPh>
    <phoneticPr fontId="2"/>
  </si>
  <si>
    <t>従業員数</t>
    <rPh sb="0" eb="3">
      <t>ジュウギョウイン</t>
    </rPh>
    <rPh sb="3" eb="4">
      <t>スウ</t>
    </rPh>
    <phoneticPr fontId="2"/>
  </si>
  <si>
    <t>延床面積</t>
    <rPh sb="0" eb="1">
      <t>ノ</t>
    </rPh>
    <rPh sb="1" eb="4">
      <t>ユカメンセキ</t>
    </rPh>
    <phoneticPr fontId="2"/>
  </si>
  <si>
    <t>事業活動の規模（２年分の実績を記入）</t>
    <rPh sb="0" eb="2">
      <t>ジギョウ</t>
    </rPh>
    <rPh sb="2" eb="4">
      <t>カツドウ</t>
    </rPh>
    <rPh sb="5" eb="7">
      <t>キボ</t>
    </rPh>
    <rPh sb="9" eb="11">
      <t>ネンブン</t>
    </rPh>
    <rPh sb="12" eb="14">
      <t>ジッセキ</t>
    </rPh>
    <rPh sb="15" eb="17">
      <t>キニュウ</t>
    </rPh>
    <phoneticPr fontId="2"/>
  </si>
  <si>
    <t>原単位①</t>
    <rPh sb="0" eb="3">
      <t>ゲンタンイ</t>
    </rPh>
    <phoneticPr fontId="2"/>
  </si>
  <si>
    <t>原単位②</t>
    <rPh sb="0" eb="3">
      <t>ゲンタンイ</t>
    </rPh>
    <phoneticPr fontId="2"/>
  </si>
  <si>
    <t>令和</t>
    <rPh sb="0" eb="2">
      <t>レイワ</t>
    </rPh>
    <phoneticPr fontId="2"/>
  </si>
  <si>
    <t>人</t>
    <rPh sb="0" eb="1">
      <t>ニン</t>
    </rPh>
    <phoneticPr fontId="2"/>
  </si>
  <si>
    <t>従業員数</t>
    <rPh sb="0" eb="4">
      <t>ジュウギョウインスウ</t>
    </rPh>
    <phoneticPr fontId="2"/>
  </si>
  <si>
    <t>売上高</t>
    <rPh sb="0" eb="3">
      <t>ウリアゲダカ</t>
    </rPh>
    <phoneticPr fontId="2"/>
  </si>
  <si>
    <t>円</t>
    <rPh sb="0" eb="1">
      <t>エン</t>
    </rPh>
    <phoneticPr fontId="2"/>
  </si>
  <si>
    <t>入力セル</t>
    <rPh sb="0" eb="2">
      <t>ニュウリョク</t>
    </rPh>
    <phoneticPr fontId="2"/>
  </si>
  <si>
    <t>メーカー・
型番</t>
    <rPh sb="6" eb="8">
      <t>カタバン</t>
    </rPh>
    <phoneticPr fontId="2"/>
  </si>
  <si>
    <t>－</t>
    <phoneticPr fontId="2"/>
  </si>
  <si>
    <t>人感セ
ンサ等</t>
    <rPh sb="0" eb="2">
      <t>ジンカン</t>
    </rPh>
    <rPh sb="6" eb="7">
      <t>トウ</t>
    </rPh>
    <phoneticPr fontId="2"/>
  </si>
  <si>
    <t>W/台</t>
    <rPh sb="2" eb="3">
      <t>ダイ</t>
    </rPh>
    <phoneticPr fontId="2"/>
  </si>
  <si>
    <t>台</t>
    <rPh sb="0" eb="1">
      <t>ダイ</t>
    </rPh>
    <phoneticPr fontId="2"/>
  </si>
  <si>
    <t>時間/日</t>
    <rPh sb="0" eb="2">
      <t>ジカン</t>
    </rPh>
    <rPh sb="3" eb="4">
      <t>ニチ</t>
    </rPh>
    <phoneticPr fontId="2"/>
  </si>
  <si>
    <t>AAA5656</t>
  </si>
  <si>
    <t>日/年</t>
    <rPh sb="0" eb="1">
      <t>ニチ</t>
    </rPh>
    <rPh sb="2" eb="3">
      <t>ネン</t>
    </rPh>
    <phoneticPr fontId="2"/>
  </si>
  <si>
    <t>％</t>
    <phoneticPr fontId="2"/>
  </si>
  <si>
    <t>時間/年</t>
    <rPh sb="0" eb="2">
      <t>ジカン</t>
    </rPh>
    <rPh sb="3" eb="4">
      <t>ネン</t>
    </rPh>
    <phoneticPr fontId="2"/>
  </si>
  <si>
    <t>更新前</t>
    <rPh sb="0" eb="3">
      <t>コウシンマエ</t>
    </rPh>
    <phoneticPr fontId="2"/>
  </si>
  <si>
    <t>kWh/年</t>
    <rPh sb="4" eb="5">
      <t>ネン</t>
    </rPh>
    <phoneticPr fontId="5"/>
  </si>
  <si>
    <t>kg-CO2/年</t>
    <rPh sb="7" eb="8">
      <t>ネン</t>
    </rPh>
    <phoneticPr fontId="5"/>
  </si>
  <si>
    <t>AAA5757</t>
    <phoneticPr fontId="2"/>
  </si>
  <si>
    <t>削減効果</t>
    <rPh sb="0" eb="4">
      <t>サクゲンコウカ</t>
    </rPh>
    <phoneticPr fontId="2"/>
  </si>
  <si>
    <t>電力削減量
（E-E’）</t>
    <rPh sb="0" eb="2">
      <t>デンリョク</t>
    </rPh>
    <rPh sb="2" eb="5">
      <t>サクゲンリョウ</t>
    </rPh>
    <phoneticPr fontId="5"/>
  </si>
  <si>
    <t>CO2削減量
（C-C’）</t>
    <rPh sb="3" eb="6">
      <t>サクゲンリョウ</t>
    </rPh>
    <phoneticPr fontId="5"/>
  </si>
  <si>
    <t>CO2排出量(C')</t>
    <rPh sb="3" eb="6">
      <t>ハイシュツリョウ</t>
    </rPh>
    <phoneticPr fontId="2"/>
  </si>
  <si>
    <t>年間消費
電力量(E')</t>
    <rPh sb="0" eb="4">
      <t>ネンカンショウヒ</t>
    </rPh>
    <rPh sb="5" eb="8">
      <t>デンリョクリョウ</t>
    </rPh>
    <phoneticPr fontId="2"/>
  </si>
  <si>
    <t>年間使用
時間(b')</t>
    <rPh sb="0" eb="2">
      <t>ネンカン</t>
    </rPh>
    <rPh sb="2" eb="4">
      <t>シヨウ</t>
    </rPh>
    <rPh sb="5" eb="7">
      <t>ジカン</t>
    </rPh>
    <phoneticPr fontId="2"/>
  </si>
  <si>
    <t>使用率
(r2)</t>
    <rPh sb="0" eb="3">
      <t>シヨウリツ</t>
    </rPh>
    <phoneticPr fontId="2"/>
  </si>
  <si>
    <t>消費電力
(a')</t>
    <rPh sb="0" eb="4">
      <t>ショウヒデンリョク</t>
    </rPh>
    <phoneticPr fontId="2"/>
  </si>
  <si>
    <t>数量(n')</t>
    <rPh sb="0" eb="2">
      <t>スウリョウ</t>
    </rPh>
    <phoneticPr fontId="2"/>
  </si>
  <si>
    <t>計</t>
    <rPh sb="0" eb="1">
      <t>ケイ</t>
    </rPh>
    <phoneticPr fontId="2"/>
  </si>
  <si>
    <t>項目</t>
    <rPh sb="0" eb="2">
      <t>コウモク</t>
    </rPh>
    <phoneticPr fontId="2"/>
  </si>
  <si>
    <t>年間消費電力量</t>
    <rPh sb="0" eb="7">
      <t>ネンカンショウヒデンリョクリョウ</t>
    </rPh>
    <phoneticPr fontId="2"/>
  </si>
  <si>
    <t>単位</t>
    <rPh sb="0" eb="2">
      <t>タンイ</t>
    </rPh>
    <phoneticPr fontId="2"/>
  </si>
  <si>
    <t>CO2排出量</t>
    <rPh sb="3" eb="6">
      <t>ハイシュツリョウ</t>
    </rPh>
    <phoneticPr fontId="2"/>
  </si>
  <si>
    <t>kg-CO2/年</t>
    <phoneticPr fontId="2"/>
  </si>
  <si>
    <t>kWh/年</t>
    <phoneticPr fontId="2"/>
  </si>
  <si>
    <t>更新後</t>
    <rPh sb="0" eb="3">
      <t>コウシンゴ</t>
    </rPh>
    <phoneticPr fontId="2"/>
  </si>
  <si>
    <t>削減量</t>
    <rPh sb="0" eb="3">
      <t>サクゲンリョウ</t>
    </rPh>
    <phoneticPr fontId="2"/>
  </si>
  <si>
    <t>削減率</t>
    <rPh sb="0" eb="3">
      <t>サクゲンリツ</t>
    </rPh>
    <phoneticPr fontId="2"/>
  </si>
  <si>
    <t>記入例</t>
    <rPh sb="0" eb="3">
      <t>キニュウレイ</t>
    </rPh>
    <phoneticPr fontId="2"/>
  </si>
  <si>
    <t>年度</t>
    <rPh sb="0" eb="2">
      <t>ネンド</t>
    </rPh>
    <phoneticPr fontId="2"/>
  </si>
  <si>
    <t>排出量（エネルギー別）</t>
    <rPh sb="0" eb="3">
      <t>ハイシュツリョウ</t>
    </rPh>
    <rPh sb="9" eb="10">
      <t>ベツ</t>
    </rPh>
    <phoneticPr fontId="2"/>
  </si>
  <si>
    <t>Scope1 直接排出</t>
    <rPh sb="7" eb="11">
      <t>チョクセツハイシュツ</t>
    </rPh>
    <phoneticPr fontId="2"/>
  </si>
  <si>
    <t>Scope2 間接排出</t>
    <rPh sb="7" eb="9">
      <t>カンセツ</t>
    </rPh>
    <rPh sb="9" eb="11">
      <t>ハイシュツ</t>
    </rPh>
    <phoneticPr fontId="2"/>
  </si>
  <si>
    <t>年</t>
    <rPh sb="0" eb="1">
      <t>ネン</t>
    </rPh>
    <phoneticPr fontId="2"/>
  </si>
  <si>
    <t>万円</t>
    <rPh sb="0" eb="2">
      <t>マンエン</t>
    </rPh>
    <phoneticPr fontId="2"/>
  </si>
  <si>
    <t>人</t>
    <rPh sb="0" eb="1">
      <t>ニン</t>
    </rPh>
    <phoneticPr fontId="2"/>
  </si>
  <si>
    <t>㎡</t>
    <phoneticPr fontId="2"/>
  </si>
  <si>
    <t>更新後</t>
    <rPh sb="0" eb="2">
      <t>コウシン</t>
    </rPh>
    <rPh sb="2" eb="3">
      <t>ゴ</t>
    </rPh>
    <phoneticPr fontId="2"/>
  </si>
  <si>
    <t>光熱費</t>
    <rPh sb="0" eb="3">
      <t>コウネツヒ</t>
    </rPh>
    <phoneticPr fontId="2"/>
  </si>
  <si>
    <t>円/年</t>
    <rPh sb="0" eb="1">
      <t>エン</t>
    </rPh>
    <rPh sb="2" eb="3">
      <t>ネン</t>
    </rPh>
    <phoneticPr fontId="2"/>
  </si>
  <si>
    <t>単価</t>
    <rPh sb="0" eb="2">
      <t>タンカ</t>
    </rPh>
    <phoneticPr fontId="2"/>
  </si>
  <si>
    <t>円/kWh</t>
    <rPh sb="0" eb="1">
      <t>エン</t>
    </rPh>
    <phoneticPr fontId="2"/>
  </si>
  <si>
    <t>円/L</t>
    <rPh sb="0" eb="1">
      <t>エン</t>
    </rPh>
    <phoneticPr fontId="2"/>
  </si>
  <si>
    <t>導入年度
（西暦）</t>
    <rPh sb="0" eb="4">
      <t>ドウニュウネンド</t>
    </rPh>
    <rPh sb="6" eb="8">
      <t>セイレキ</t>
    </rPh>
    <phoneticPr fontId="5"/>
  </si>
  <si>
    <t>台数
(n)</t>
    <rPh sb="0" eb="2">
      <t>ダイスウ</t>
    </rPh>
    <phoneticPr fontId="5"/>
  </si>
  <si>
    <t>老朽化消費
電力倍率(p)
 (5%/年）</t>
    <rPh sb="0" eb="3">
      <t>ロウキュウカ</t>
    </rPh>
    <rPh sb="3" eb="5">
      <t>ショウヒ</t>
    </rPh>
    <rPh sb="6" eb="8">
      <t>デンリョク</t>
    </rPh>
    <rPh sb="8" eb="9">
      <t>バイ</t>
    </rPh>
    <rPh sb="9" eb="10">
      <t>リツ</t>
    </rPh>
    <rPh sb="19" eb="20">
      <t>ネン</t>
    </rPh>
    <phoneticPr fontId="5"/>
  </si>
  <si>
    <t>定格能力</t>
    <rPh sb="0" eb="4">
      <t>テイカクノウリョク</t>
    </rPh>
    <phoneticPr fontId="2"/>
  </si>
  <si>
    <t>定格能力</t>
    <rPh sb="0" eb="2">
      <t>テイカク</t>
    </rPh>
    <rPh sb="2" eb="4">
      <t>ノウリョク</t>
    </rPh>
    <phoneticPr fontId="5"/>
  </si>
  <si>
    <t>メーカー・
型番</t>
    <rPh sb="6" eb="8">
      <t>カタバン</t>
    </rPh>
    <phoneticPr fontId="5"/>
  </si>
  <si>
    <t>日使用
時間(t)</t>
    <rPh sb="0" eb="1">
      <t>ニチ</t>
    </rPh>
    <phoneticPr fontId="5"/>
  </si>
  <si>
    <t>年間使用
日数(d)</t>
    <rPh sb="0" eb="2">
      <t>ネンカン</t>
    </rPh>
    <rPh sb="5" eb="7">
      <t>ニッスウ</t>
    </rPh>
    <phoneticPr fontId="5"/>
  </si>
  <si>
    <r>
      <t>定格消費
電力（</t>
    </r>
    <r>
      <rPr>
        <sz val="11"/>
        <color theme="1"/>
        <rFont val="游ゴシック"/>
        <family val="3"/>
        <charset val="128"/>
        <scheme val="minor"/>
      </rPr>
      <t>a</t>
    </r>
    <r>
      <rPr>
        <vertAlign val="subscript"/>
        <sz val="11"/>
        <color theme="1"/>
        <rFont val="游ゴシック"/>
        <family val="3"/>
        <charset val="128"/>
        <scheme val="minor"/>
      </rPr>
      <t>2</t>
    </r>
    <r>
      <rPr>
        <sz val="11"/>
        <color theme="1"/>
        <rFont val="游ゴシック"/>
        <family val="2"/>
        <charset val="128"/>
        <scheme val="minor"/>
      </rPr>
      <t>）</t>
    </r>
    <rPh sb="2" eb="4">
      <t>ショウヒ</t>
    </rPh>
    <rPh sb="5" eb="7">
      <t>デンリョク</t>
    </rPh>
    <phoneticPr fontId="5"/>
  </si>
  <si>
    <r>
      <t>CO2
排出量(C</t>
    </r>
    <r>
      <rPr>
        <vertAlign val="subscript"/>
        <sz val="11"/>
        <color theme="1"/>
        <rFont val="游ゴシック"/>
        <family val="3"/>
        <charset val="128"/>
        <scheme val="minor"/>
      </rPr>
      <t>1</t>
    </r>
    <r>
      <rPr>
        <sz val="11"/>
        <color theme="1"/>
        <rFont val="游ゴシック"/>
        <family val="2"/>
        <charset val="128"/>
        <scheme val="minor"/>
      </rPr>
      <t>)</t>
    </r>
    <rPh sb="4" eb="7">
      <t>ハイシュツリョウ</t>
    </rPh>
    <phoneticPr fontId="5"/>
  </si>
  <si>
    <r>
      <t>CO2
排出量(C'</t>
    </r>
    <r>
      <rPr>
        <vertAlign val="subscript"/>
        <sz val="11"/>
        <color theme="1"/>
        <rFont val="游ゴシック"/>
        <family val="3"/>
        <charset val="128"/>
        <scheme val="minor"/>
      </rPr>
      <t>2</t>
    </r>
    <r>
      <rPr>
        <sz val="11"/>
        <color theme="1"/>
        <rFont val="游ゴシック"/>
        <family val="2"/>
        <charset val="128"/>
        <scheme val="minor"/>
      </rPr>
      <t>)</t>
    </r>
    <rPh sb="4" eb="7">
      <t>ハイシュツリョウ</t>
    </rPh>
    <phoneticPr fontId="5"/>
  </si>
  <si>
    <r>
      <t>年間使用
時間(ｔd</t>
    </r>
    <r>
      <rPr>
        <vertAlign val="subscript"/>
        <sz val="11"/>
        <color theme="1"/>
        <rFont val="游ゴシック"/>
        <family val="3"/>
        <charset val="128"/>
        <scheme val="minor"/>
      </rPr>
      <t>2</t>
    </r>
    <r>
      <rPr>
        <sz val="11"/>
        <color theme="1"/>
        <rFont val="游ゴシック"/>
        <family val="2"/>
        <charset val="128"/>
        <scheme val="minor"/>
      </rPr>
      <t>)</t>
    </r>
    <rPh sb="0" eb="2">
      <t>ネンカン</t>
    </rPh>
    <rPh sb="2" eb="4">
      <t>シヨウ</t>
    </rPh>
    <rPh sb="5" eb="7">
      <t>ジカン</t>
    </rPh>
    <phoneticPr fontId="5"/>
  </si>
  <si>
    <r>
      <t>年間使用
時間(ｔd</t>
    </r>
    <r>
      <rPr>
        <vertAlign val="subscript"/>
        <sz val="11"/>
        <color theme="1"/>
        <rFont val="ＭＳ Ｐゴシック"/>
        <family val="3"/>
        <charset val="128"/>
      </rPr>
      <t>1</t>
    </r>
    <r>
      <rPr>
        <sz val="11"/>
        <color theme="1"/>
        <rFont val="游ゴシック"/>
        <family val="2"/>
        <charset val="128"/>
        <scheme val="minor"/>
      </rPr>
      <t>)</t>
    </r>
    <rPh sb="0" eb="2">
      <t>ネンカン</t>
    </rPh>
    <rPh sb="2" eb="4">
      <t>シヨウ</t>
    </rPh>
    <rPh sb="5" eb="7">
      <t>ジカン</t>
    </rPh>
    <phoneticPr fontId="5"/>
  </si>
  <si>
    <t>冷房</t>
    <rPh sb="0" eb="2">
      <t>レイボウ</t>
    </rPh>
    <phoneticPr fontId="2"/>
  </si>
  <si>
    <t>暖房</t>
    <rPh sb="0" eb="2">
      <t>ダンボウ</t>
    </rPh>
    <phoneticPr fontId="2"/>
  </si>
  <si>
    <t>台</t>
    <rPh sb="0" eb="1">
      <t>ダイ</t>
    </rPh>
    <phoneticPr fontId="5"/>
  </si>
  <si>
    <t>kW</t>
    <phoneticPr fontId="2"/>
  </si>
  <si>
    <t>時間</t>
    <rPh sb="0" eb="2">
      <t>ジカン</t>
    </rPh>
    <phoneticPr fontId="2"/>
  </si>
  <si>
    <t>日/年</t>
    <rPh sb="0" eb="1">
      <t>ニチ</t>
    </rPh>
    <rPh sb="2" eb="3">
      <t>ネン</t>
    </rPh>
    <phoneticPr fontId="2"/>
  </si>
  <si>
    <t>時間/年</t>
    <rPh sb="0" eb="2">
      <t>ジカン</t>
    </rPh>
    <rPh sb="3" eb="4">
      <t>ネン</t>
    </rPh>
    <phoneticPr fontId="2"/>
  </si>
  <si>
    <t>kW/台</t>
    <rPh sb="3" eb="4">
      <t>ダイ</t>
    </rPh>
    <phoneticPr fontId="2"/>
  </si>
  <si>
    <t>年間</t>
    <rPh sb="0" eb="2">
      <t>ネンカン</t>
    </rPh>
    <phoneticPr fontId="2"/>
  </si>
  <si>
    <t>更新後</t>
    <rPh sb="0" eb="3">
      <t>コウシンゴ</t>
    </rPh>
    <phoneticPr fontId="2"/>
  </si>
  <si>
    <t>AAA+</t>
    <phoneticPr fontId="2"/>
  </si>
  <si>
    <t>台数
(n')</t>
    <rPh sb="0" eb="2">
      <t>ダイスウ</t>
    </rPh>
    <phoneticPr fontId="5"/>
  </si>
  <si>
    <t>暖房</t>
    <rPh sb="0" eb="2">
      <t>ダンボウ</t>
    </rPh>
    <phoneticPr fontId="5"/>
  </si>
  <si>
    <t>年間</t>
    <phoneticPr fontId="2"/>
  </si>
  <si>
    <t>更新前</t>
    <rPh sb="0" eb="3">
      <t>コウシンマエ</t>
    </rPh>
    <phoneticPr fontId="2"/>
  </si>
  <si>
    <t>年</t>
    <rPh sb="0" eb="1">
      <t>ネン</t>
    </rPh>
    <phoneticPr fontId="2"/>
  </si>
  <si>
    <t>－</t>
  </si>
  <si>
    <t>－</t>
    <phoneticPr fontId="2"/>
  </si>
  <si>
    <t>kWh/年</t>
    <rPh sb="4" eb="5">
      <t>ネン</t>
    </rPh>
    <phoneticPr fontId="2"/>
  </si>
  <si>
    <t>kgCO2/年</t>
    <rPh sb="6" eb="7">
      <t>ネン</t>
    </rPh>
    <phoneticPr fontId="2"/>
  </si>
  <si>
    <t>削減効果</t>
    <rPh sb="0" eb="4">
      <t>サクゲンコウカ</t>
    </rPh>
    <phoneticPr fontId="2"/>
  </si>
  <si>
    <t>電力
削減量
（E-E’）</t>
    <rPh sb="0" eb="2">
      <t>デンリョク</t>
    </rPh>
    <rPh sb="3" eb="6">
      <t>サクゲンリョウ</t>
    </rPh>
    <phoneticPr fontId="5"/>
  </si>
  <si>
    <t>CO2
削減量
（C-C’）</t>
    <rPh sb="4" eb="7">
      <t>サクゲンリョウ</t>
    </rPh>
    <phoneticPr fontId="5"/>
  </si>
  <si>
    <t>車種</t>
    <rPh sb="0" eb="2">
      <t>シャシュ</t>
    </rPh>
    <phoneticPr fontId="2"/>
  </si>
  <si>
    <t>軽油</t>
  </si>
  <si>
    <t>メーカー</t>
  </si>
  <si>
    <t>メーカー</t>
    <phoneticPr fontId="2"/>
  </si>
  <si>
    <t>型番</t>
    <rPh sb="0" eb="2">
      <t>カタバン</t>
    </rPh>
    <phoneticPr fontId="2"/>
  </si>
  <si>
    <t>L/年</t>
    <rPh sb="2" eb="3">
      <t>ネン</t>
    </rPh>
    <phoneticPr fontId="2"/>
  </si>
  <si>
    <t>CO2
排出量(C)</t>
    <rPh sb="4" eb="7">
      <t>ハイシュツリョウ</t>
    </rPh>
    <phoneticPr fontId="2"/>
  </si>
  <si>
    <t>ガソリン</t>
  </si>
  <si>
    <t>AAA</t>
    <phoneticPr fontId="2"/>
  </si>
  <si>
    <t>BBB</t>
    <phoneticPr fontId="2"/>
  </si>
  <si>
    <t>燃料種</t>
    <rPh sb="0" eb="3">
      <t>ネンリョウシュ</t>
    </rPh>
    <phoneticPr fontId="2"/>
  </si>
  <si>
    <t>年間燃料
使用量</t>
    <rPh sb="0" eb="2">
      <t>ネンカン</t>
    </rPh>
    <rPh sb="2" eb="4">
      <t>ネンリョウ</t>
    </rPh>
    <rPh sb="5" eb="8">
      <t>シヨウリョウ</t>
    </rPh>
    <phoneticPr fontId="2"/>
  </si>
  <si>
    <t>車種</t>
    <rPh sb="0" eb="2">
      <t>シャシュ</t>
    </rPh>
    <phoneticPr fontId="2"/>
  </si>
  <si>
    <t>AAB</t>
    <phoneticPr fontId="2"/>
  </si>
  <si>
    <t>燃費値</t>
    <rPh sb="0" eb="3">
      <t>ネンピチ</t>
    </rPh>
    <phoneticPr fontId="2"/>
  </si>
  <si>
    <t>km/L</t>
    <phoneticPr fontId="2"/>
  </si>
  <si>
    <t>電気</t>
  </si>
  <si>
    <t>年間電気
使用量</t>
    <rPh sb="0" eb="2">
      <t>ネンカン</t>
    </rPh>
    <rPh sb="2" eb="4">
      <t>デンキ</t>
    </rPh>
    <rPh sb="5" eb="8">
      <t>シヨウリョウ</t>
    </rPh>
    <phoneticPr fontId="2"/>
  </si>
  <si>
    <t>単位</t>
    <rPh sb="0" eb="2">
      <t>タンイ</t>
    </rPh>
    <phoneticPr fontId="2"/>
  </si>
  <si>
    <t>kWh/km</t>
    <phoneticPr fontId="2"/>
  </si>
  <si>
    <t>kWh/年</t>
    <rPh sb="4" eb="5">
      <t>ネン</t>
    </rPh>
    <phoneticPr fontId="2"/>
  </si>
  <si>
    <t>自動車の更新</t>
    <rPh sb="0" eb="3">
      <t>ジドウシャ</t>
    </rPh>
    <rPh sb="4" eb="6">
      <t>コウシン</t>
    </rPh>
    <phoneticPr fontId="2"/>
  </si>
  <si>
    <t>消費電力</t>
    <rPh sb="0" eb="4">
      <t>ショウヒデンリョク</t>
    </rPh>
    <phoneticPr fontId="2"/>
  </si>
  <si>
    <t>数量</t>
    <rPh sb="0" eb="2">
      <t>スウリョウ</t>
    </rPh>
    <phoneticPr fontId="2"/>
  </si>
  <si>
    <t>使用率</t>
    <rPh sb="0" eb="3">
      <t>シヨウリツ</t>
    </rPh>
    <phoneticPr fontId="2"/>
  </si>
  <si>
    <t>年間使用
時間</t>
    <rPh sb="0" eb="2">
      <t>ネンカン</t>
    </rPh>
    <rPh sb="2" eb="4">
      <t>シヨウ</t>
    </rPh>
    <rPh sb="5" eb="7">
      <t>ジカン</t>
    </rPh>
    <phoneticPr fontId="2"/>
  </si>
  <si>
    <t>年間消費
電力量</t>
    <rPh sb="0" eb="4">
      <t>ネンカンショウヒ</t>
    </rPh>
    <rPh sb="5" eb="8">
      <t>デンリョクリョウ</t>
    </rPh>
    <phoneticPr fontId="2"/>
  </si>
  <si>
    <t>日使用時間</t>
    <rPh sb="0" eb="1">
      <t>ヒ</t>
    </rPh>
    <rPh sb="1" eb="3">
      <t>シヨウ</t>
    </rPh>
    <rPh sb="3" eb="5">
      <t>ジカン</t>
    </rPh>
    <phoneticPr fontId="2"/>
  </si>
  <si>
    <t>年間使用
日数</t>
    <rPh sb="0" eb="2">
      <t>ネンカン</t>
    </rPh>
    <rPh sb="2" eb="4">
      <t>シヨウ</t>
    </rPh>
    <rPh sb="5" eb="7">
      <t>ニッスウ</t>
    </rPh>
    <phoneticPr fontId="2"/>
  </si>
  <si>
    <t>光熱費</t>
    <rPh sb="0" eb="3">
      <t>コウネツヒ</t>
    </rPh>
    <phoneticPr fontId="2"/>
  </si>
  <si>
    <t>円/年</t>
    <rPh sb="0" eb="1">
      <t>エン</t>
    </rPh>
    <rPh sb="2" eb="3">
      <t>ネン</t>
    </rPh>
    <phoneticPr fontId="2"/>
  </si>
  <si>
    <t>月</t>
    <rPh sb="0" eb="1">
      <t>ツキ</t>
    </rPh>
    <phoneticPr fontId="2"/>
  </si>
  <si>
    <t>年度</t>
    <rPh sb="0" eb="2">
      <t>ネンド</t>
    </rPh>
    <phoneticPr fontId="2"/>
  </si>
  <si>
    <t>年間光熱費（円）</t>
    <rPh sb="0" eb="2">
      <t>ネンカン</t>
    </rPh>
    <rPh sb="2" eb="5">
      <t>コウネツヒ</t>
    </rPh>
    <rPh sb="6" eb="7">
      <t>エン</t>
    </rPh>
    <phoneticPr fontId="2"/>
  </si>
  <si>
    <t>合計</t>
    <rPh sb="0" eb="2">
      <t>ゴウケイ</t>
    </rPh>
    <phoneticPr fontId="2"/>
  </si>
  <si>
    <t>kl/年</t>
  </si>
  <si>
    <t>原油1kLのエネルギー量＝38,700MJ（省エネ法基準値）
１MJ ＝ 1/38,700 kL ＝ 0.0000258 kL</t>
    <rPh sb="0" eb="2">
      <t>ゲンユ</t>
    </rPh>
    <rPh sb="11" eb="12">
      <t>リョウ</t>
    </rPh>
    <phoneticPr fontId="2"/>
  </si>
  <si>
    <t>単位</t>
    <rPh sb="0" eb="2">
      <t>タンイ</t>
    </rPh>
    <phoneticPr fontId="2"/>
  </si>
  <si>
    <t>エネルギー種</t>
    <rPh sb="5" eb="6">
      <t>シュ</t>
    </rPh>
    <phoneticPr fontId="2"/>
  </si>
  <si>
    <t>L</t>
    <phoneticPr fontId="2"/>
  </si>
  <si>
    <t>kg</t>
    <phoneticPr fontId="2"/>
  </si>
  <si>
    <t>kWh</t>
    <phoneticPr fontId="2"/>
  </si>
  <si>
    <t>単位
発熱量</t>
    <rPh sb="0" eb="2">
      <t>タンイ</t>
    </rPh>
    <rPh sb="3" eb="6">
      <t>ハツネツリョウ</t>
    </rPh>
    <phoneticPr fontId="2"/>
  </si>
  <si>
    <t>発熱量
単位</t>
    <rPh sb="0" eb="2">
      <t>ハツネツ</t>
    </rPh>
    <rPh sb="2" eb="3">
      <t>リョウ</t>
    </rPh>
    <rPh sb="4" eb="6">
      <t>タンイ</t>
    </rPh>
    <phoneticPr fontId="2"/>
  </si>
  <si>
    <t>環境省HP：https://www.env.go.jp › local_keikaku › data › keisu_ichiran_202504
資源エネルギー庁：https://www.enecho.meti.go.jp/statistics/total_energy/carbon_2023.html</t>
    <rPh sb="0" eb="3">
      <t>カンキョウショウ</t>
    </rPh>
    <rPh sb="74" eb="76">
      <t>シゲン</t>
    </rPh>
    <rPh sb="81" eb="82">
      <t>チョウ</t>
    </rPh>
    <phoneticPr fontId="2"/>
  </si>
  <si>
    <t>金沢エナジーHP：https://kanazawa-ge.co.jp/gas/charge/
資源エネルギー庁：https://www.enecho.meti.go.jp/statistics/total_energy/carbon_2023.html</t>
    <rPh sb="0" eb="2">
      <t>カナザワ</t>
    </rPh>
    <phoneticPr fontId="2"/>
  </si>
  <si>
    <t>環境省HP：https://www.env.go.jp/council/16pol-ear/y164-04/mat04.pdf</t>
    <rPh sb="0" eb="3">
      <t>カンキョウショウ</t>
    </rPh>
    <phoneticPr fontId="2"/>
  </si>
  <si>
    <t>空調設備（電気）の更新</t>
    <rPh sb="0" eb="2">
      <t>クウチョウ</t>
    </rPh>
    <rPh sb="2" eb="4">
      <t>セツビ</t>
    </rPh>
    <rPh sb="5" eb="7">
      <t>デンキ</t>
    </rPh>
    <rPh sb="9" eb="11">
      <t>コウシン</t>
    </rPh>
    <phoneticPr fontId="2"/>
  </si>
  <si>
    <t>照明器機の更新</t>
    <rPh sb="0" eb="2">
      <t>ショウメイ</t>
    </rPh>
    <rPh sb="2" eb="4">
      <t>キキ</t>
    </rPh>
    <rPh sb="5" eb="7">
      <t>コウシン</t>
    </rPh>
    <phoneticPr fontId="2"/>
  </si>
  <si>
    <t>機器1</t>
    <rPh sb="0" eb="2">
      <t>キキ</t>
    </rPh>
    <phoneticPr fontId="2"/>
  </si>
  <si>
    <t>機器2</t>
    <rPh sb="0" eb="2">
      <t>キキ</t>
    </rPh>
    <phoneticPr fontId="2"/>
  </si>
  <si>
    <t>機器3</t>
    <rPh sb="0" eb="2">
      <t>キキ</t>
    </rPh>
    <phoneticPr fontId="2"/>
  </si>
  <si>
    <t>機器4</t>
    <rPh sb="0" eb="2">
      <t>キキ</t>
    </rPh>
    <phoneticPr fontId="2"/>
  </si>
  <si>
    <t>機器5</t>
    <rPh sb="0" eb="2">
      <t>キキ</t>
    </rPh>
    <phoneticPr fontId="2"/>
  </si>
  <si>
    <t>機器6</t>
    <rPh sb="0" eb="2">
      <t>キキ</t>
    </rPh>
    <phoneticPr fontId="2"/>
  </si>
  <si>
    <t>機器7</t>
    <rPh sb="0" eb="2">
      <t>キキ</t>
    </rPh>
    <phoneticPr fontId="2"/>
  </si>
  <si>
    <t>機器8</t>
    <rPh sb="0" eb="2">
      <t>キキ</t>
    </rPh>
    <phoneticPr fontId="2"/>
  </si>
  <si>
    <t>機器9</t>
    <rPh sb="0" eb="2">
      <t>キキ</t>
    </rPh>
    <phoneticPr fontId="2"/>
  </si>
  <si>
    <t>機器10</t>
    <rPh sb="0" eb="2">
      <t>キキ</t>
    </rPh>
    <phoneticPr fontId="2"/>
  </si>
  <si>
    <r>
      <t>定格消費
電力（</t>
    </r>
    <r>
      <rPr>
        <sz val="11"/>
        <color theme="1"/>
        <rFont val="游ゴシック"/>
        <family val="3"/>
        <charset val="128"/>
        <scheme val="minor"/>
      </rPr>
      <t>a</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ショウヒ</t>
    </rPh>
    <rPh sb="5" eb="7">
      <t>デンリョク</t>
    </rPh>
    <phoneticPr fontId="5"/>
  </si>
  <si>
    <r>
      <t>定格消費電力（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ショウヒ</t>
    </rPh>
    <rPh sb="4" eb="6">
      <t>デンリョク</t>
    </rPh>
    <phoneticPr fontId="5"/>
  </si>
  <si>
    <r>
      <t>定格消費電力（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2</t>
    </r>
    <r>
      <rPr>
        <sz val="11"/>
        <color theme="1"/>
        <rFont val="游ゴシック"/>
        <family val="2"/>
        <charset val="128"/>
        <scheme val="minor"/>
      </rPr>
      <t>）</t>
    </r>
    <rPh sb="0" eb="2">
      <t>テイカク</t>
    </rPh>
    <rPh sb="2" eb="4">
      <t>ショウヒ</t>
    </rPh>
    <rPh sb="4" eb="6">
      <t>デンリョク</t>
    </rPh>
    <phoneticPr fontId="5"/>
  </si>
  <si>
    <r>
      <t>年間使用
時間(td'</t>
    </r>
    <r>
      <rPr>
        <vertAlign val="subscript"/>
        <sz val="11"/>
        <color theme="1"/>
        <rFont val="游ゴシック"/>
        <family val="3"/>
        <charset val="128"/>
        <scheme val="minor"/>
      </rPr>
      <t>2</t>
    </r>
    <r>
      <rPr>
        <sz val="11"/>
        <color theme="1"/>
        <rFont val="游ゴシック"/>
        <family val="2"/>
        <charset val="128"/>
        <scheme val="minor"/>
      </rPr>
      <t>)</t>
    </r>
    <rPh sb="0" eb="2">
      <t>ネンカン</t>
    </rPh>
    <rPh sb="2" eb="4">
      <t>シヨウ</t>
    </rPh>
    <rPh sb="5" eb="7">
      <t>ジカン</t>
    </rPh>
    <phoneticPr fontId="5"/>
  </si>
  <si>
    <r>
      <t>年間使用
時間(td'</t>
    </r>
    <r>
      <rPr>
        <vertAlign val="subscript"/>
        <sz val="11"/>
        <color theme="1"/>
        <rFont val="ＭＳ Ｐゴシック"/>
        <family val="3"/>
        <charset val="128"/>
      </rPr>
      <t>1</t>
    </r>
    <r>
      <rPr>
        <sz val="11"/>
        <color theme="1"/>
        <rFont val="ＭＳ Ｐゴシック"/>
        <family val="2"/>
        <charset val="128"/>
      </rPr>
      <t>)</t>
    </r>
    <rPh sb="0" eb="2">
      <t>ネンカン</t>
    </rPh>
    <rPh sb="2" eb="4">
      <t>シヨウ</t>
    </rPh>
    <rPh sb="5" eb="7">
      <t>ジカン</t>
    </rPh>
    <phoneticPr fontId="5"/>
  </si>
  <si>
    <t>年間消費ガス量</t>
    <rPh sb="0" eb="2">
      <t>ネンカン</t>
    </rPh>
    <rPh sb="2" eb="4">
      <t>ショウヒ</t>
    </rPh>
    <rPh sb="6" eb="7">
      <t>リョウ</t>
    </rPh>
    <phoneticPr fontId="2"/>
  </si>
  <si>
    <t>㎥/年</t>
    <rPh sb="2" eb="3">
      <t>ネン</t>
    </rPh>
    <phoneticPr fontId="5"/>
  </si>
  <si>
    <t>燃料
削減量</t>
    <rPh sb="0" eb="2">
      <t>ネンリョウ</t>
    </rPh>
    <rPh sb="3" eb="6">
      <t>サクゲンリョウ</t>
    </rPh>
    <phoneticPr fontId="2"/>
  </si>
  <si>
    <t>計量
単位</t>
    <rPh sb="0" eb="2">
      <t>ケイリョウ</t>
    </rPh>
    <rPh sb="3" eb="5">
      <t>タンイ</t>
    </rPh>
    <phoneticPr fontId="2"/>
  </si>
  <si>
    <t>冷凍庫・冷蔵庫の更新</t>
    <rPh sb="0" eb="3">
      <t>レイトウコ</t>
    </rPh>
    <rPh sb="4" eb="7">
      <t>レイゾウコ</t>
    </rPh>
    <phoneticPr fontId="25"/>
  </si>
  <si>
    <t>項目</t>
    <rPh sb="0" eb="2">
      <t>コウモク</t>
    </rPh>
    <phoneticPr fontId="25"/>
  </si>
  <si>
    <t>単位</t>
    <rPh sb="0" eb="2">
      <t>タンイ</t>
    </rPh>
    <phoneticPr fontId="25"/>
  </si>
  <si>
    <t>更新前</t>
    <rPh sb="0" eb="3">
      <t>コウシンマエ</t>
    </rPh>
    <phoneticPr fontId="25"/>
  </si>
  <si>
    <t>更新後</t>
    <rPh sb="0" eb="2">
      <t>コウシン</t>
    </rPh>
    <rPh sb="2" eb="3">
      <t>ゴ</t>
    </rPh>
    <phoneticPr fontId="25"/>
  </si>
  <si>
    <t>削減量</t>
  </si>
  <si>
    <t>削減率</t>
    <rPh sb="0" eb="3">
      <t>サクゲンリツ</t>
    </rPh>
    <phoneticPr fontId="25"/>
  </si>
  <si>
    <t>年間消費電力量</t>
    <rPh sb="0" eb="2">
      <t>ネンカン</t>
    </rPh>
    <rPh sb="2" eb="7">
      <t>ショウヒデンリョクリョウ</t>
    </rPh>
    <phoneticPr fontId="25"/>
  </si>
  <si>
    <t>kWh/年</t>
    <rPh sb="4" eb="5">
      <t>ネン</t>
    </rPh>
    <phoneticPr fontId="25"/>
  </si>
  <si>
    <t>CO2排出量</t>
    <rPh sb="3" eb="6">
      <t>ハイシュツリョウ</t>
    </rPh>
    <phoneticPr fontId="25"/>
  </si>
  <si>
    <t>tCO2/年</t>
    <rPh sb="5" eb="6">
      <t>ネン</t>
    </rPh>
    <phoneticPr fontId="25"/>
  </si>
  <si>
    <t>光熱費</t>
  </si>
  <si>
    <t>円/年</t>
    <rPh sb="0" eb="1">
      <t>エン</t>
    </rPh>
    <rPh sb="2" eb="3">
      <t>ネン</t>
    </rPh>
    <phoneticPr fontId="25"/>
  </si>
  <si>
    <t>kl/年</t>
    <rPh sb="3" eb="4">
      <t>ネン</t>
    </rPh>
    <phoneticPr fontId="25"/>
  </si>
  <si>
    <t>削減効果</t>
    <rPh sb="0" eb="2">
      <t>サクゲン</t>
    </rPh>
    <rPh sb="2" eb="4">
      <t>コウカ</t>
    </rPh>
    <phoneticPr fontId="25"/>
  </si>
  <si>
    <t>導入年度
（西暦）</t>
    <rPh sb="0" eb="4">
      <t>ドウニュウネンド</t>
    </rPh>
    <rPh sb="6" eb="8">
      <t>セイレキ</t>
    </rPh>
    <phoneticPr fontId="25"/>
  </si>
  <si>
    <t>定格消費
電力（a）</t>
    <rPh sb="0" eb="2">
      <t>テイカク</t>
    </rPh>
    <rPh sb="2" eb="4">
      <t>ショウヒ</t>
    </rPh>
    <rPh sb="5" eb="7">
      <t>デンリョク</t>
    </rPh>
    <phoneticPr fontId="25"/>
  </si>
  <si>
    <t>年間消費
電力量(E)</t>
    <rPh sb="0" eb="2">
      <t>ネンカン</t>
    </rPh>
    <rPh sb="2" eb="4">
      <t>ショウヒ</t>
    </rPh>
    <rPh sb="5" eb="7">
      <t>デンリョク</t>
    </rPh>
    <rPh sb="7" eb="8">
      <t>リョウ</t>
    </rPh>
    <phoneticPr fontId="25"/>
  </si>
  <si>
    <t>CO2排出量
(C)</t>
    <rPh sb="3" eb="6">
      <t>ハイシュツリョウ</t>
    </rPh>
    <phoneticPr fontId="25"/>
  </si>
  <si>
    <t>数量(n')</t>
    <rPh sb="0" eb="2">
      <t>スウリョウ</t>
    </rPh>
    <phoneticPr fontId="25"/>
  </si>
  <si>
    <t>定格消費
電力（a'）</t>
    <rPh sb="0" eb="2">
      <t>テイカク</t>
    </rPh>
    <rPh sb="2" eb="4">
      <t>ショウヒ</t>
    </rPh>
    <rPh sb="5" eb="7">
      <t>デンリョク</t>
    </rPh>
    <phoneticPr fontId="25"/>
  </si>
  <si>
    <t>年間消費
電力量(E')</t>
    <rPh sb="0" eb="2">
      <t>ネンカン</t>
    </rPh>
    <rPh sb="2" eb="4">
      <t>ショウヒ</t>
    </rPh>
    <rPh sb="5" eb="7">
      <t>デンリョク</t>
    </rPh>
    <rPh sb="7" eb="8">
      <t>リョウ</t>
    </rPh>
    <phoneticPr fontId="25"/>
  </si>
  <si>
    <t>CO2排出量(C')</t>
    <rPh sb="3" eb="6">
      <t>ハイシュツリョウ</t>
    </rPh>
    <phoneticPr fontId="25"/>
  </si>
  <si>
    <t>台</t>
    <rPh sb="0" eb="1">
      <t>ダイ</t>
    </rPh>
    <phoneticPr fontId="25"/>
  </si>
  <si>
    <t>L/台数</t>
    <rPh sb="2" eb="4">
      <t>ダイスウ</t>
    </rPh>
    <phoneticPr fontId="25"/>
  </si>
  <si>
    <t>W/台</t>
    <rPh sb="2" eb="3">
      <t>ダイ</t>
    </rPh>
    <phoneticPr fontId="25"/>
  </si>
  <si>
    <t>RT-120MNCG</t>
    <phoneticPr fontId="25"/>
  </si>
  <si>
    <t>メーカー・
型番</t>
    <rPh sb="6" eb="8">
      <t>カタバン</t>
    </rPh>
    <phoneticPr fontId="25"/>
  </si>
  <si>
    <t>計</t>
    <rPh sb="0" eb="1">
      <t>ケイ</t>
    </rPh>
    <phoneticPr fontId="25"/>
  </si>
  <si>
    <t>冷凍室
容積</t>
    <rPh sb="0" eb="3">
      <t>レイトウシツ</t>
    </rPh>
    <rPh sb="4" eb="6">
      <t>ヨウセキ</t>
    </rPh>
    <phoneticPr fontId="25"/>
  </si>
  <si>
    <t>冷蔵室
容積</t>
    <rPh sb="0" eb="3">
      <t>レイゾウシツ</t>
    </rPh>
    <rPh sb="4" eb="6">
      <t>ヨウセキ</t>
    </rPh>
    <phoneticPr fontId="25"/>
  </si>
  <si>
    <t>電力削減量（E-E'）</t>
    <rPh sb="0" eb="2">
      <t>デンリョク</t>
    </rPh>
    <rPh sb="2" eb="5">
      <t>サクゲンリョウ</t>
    </rPh>
    <phoneticPr fontId="25"/>
  </si>
  <si>
    <t>CO2削減量（C-C'）</t>
    <rPh sb="3" eb="6">
      <t>サクゲンリョウ</t>
    </rPh>
    <phoneticPr fontId="25"/>
  </si>
  <si>
    <t>ABCDE</t>
    <phoneticPr fontId="25"/>
  </si>
  <si>
    <t>ボイラー・給湯器の更新</t>
    <rPh sb="5" eb="8">
      <t>キュウトウキ</t>
    </rPh>
    <phoneticPr fontId="25"/>
  </si>
  <si>
    <t>CO2排出量</t>
    <rPh sb="3" eb="5">
      <t>ハイシュツ</t>
    </rPh>
    <rPh sb="5" eb="6">
      <t>リョウ</t>
    </rPh>
    <phoneticPr fontId="25"/>
  </si>
  <si>
    <t>光熱費</t>
    <rPh sb="0" eb="3">
      <t>コウネツヒ</t>
    </rPh>
    <phoneticPr fontId="25"/>
  </si>
  <si>
    <t>メーカー
・型番</t>
    <rPh sb="6" eb="8">
      <t>カタバン</t>
    </rPh>
    <phoneticPr fontId="25"/>
  </si>
  <si>
    <t>設備種類</t>
    <rPh sb="0" eb="2">
      <t>セツビ</t>
    </rPh>
    <rPh sb="2" eb="4">
      <t>シュルイ</t>
    </rPh>
    <phoneticPr fontId="25"/>
  </si>
  <si>
    <t>導入年度</t>
    <rPh sb="0" eb="2">
      <t>ドウニュウ</t>
    </rPh>
    <rPh sb="2" eb="4">
      <t>ネンド</t>
    </rPh>
    <phoneticPr fontId="25"/>
  </si>
  <si>
    <t>数量(n)</t>
    <rPh sb="0" eb="2">
      <t>スウリョウ</t>
    </rPh>
    <phoneticPr fontId="25"/>
  </si>
  <si>
    <t>燃料種類</t>
    <rPh sb="0" eb="2">
      <t>ネンリョウ</t>
    </rPh>
    <rPh sb="2" eb="4">
      <t>シュルイ</t>
    </rPh>
    <phoneticPr fontId="2"/>
  </si>
  <si>
    <t>燃料単位</t>
    <rPh sb="0" eb="2">
      <t>ネンリョウ</t>
    </rPh>
    <rPh sb="2" eb="4">
      <t>タンイ</t>
    </rPh>
    <phoneticPr fontId="25"/>
  </si>
  <si>
    <t>HP老朽化消費倍率(p) (5%/年）</t>
    <rPh sb="2" eb="4">
      <t>ロウキュウ</t>
    </rPh>
    <rPh sb="7" eb="9">
      <t>バイリツ</t>
    </rPh>
    <phoneticPr fontId="25"/>
  </si>
  <si>
    <t>加熱式設備経年劣化率(q)</t>
    <rPh sb="0" eb="2">
      <t>カネツ</t>
    </rPh>
    <rPh sb="2" eb="3">
      <t>シキ</t>
    </rPh>
    <rPh sb="3" eb="5">
      <t>セツビ</t>
    </rPh>
    <rPh sb="5" eb="7">
      <t>ケイネン</t>
    </rPh>
    <rPh sb="7" eb="9">
      <t>レッカ</t>
    </rPh>
    <rPh sb="9" eb="10">
      <t>リツ</t>
    </rPh>
    <phoneticPr fontId="25"/>
  </si>
  <si>
    <t>定格加熱能力/相当蒸発量</t>
    <rPh sb="0" eb="2">
      <t>テイカク</t>
    </rPh>
    <rPh sb="2" eb="4">
      <t>カネツ</t>
    </rPh>
    <rPh sb="4" eb="6">
      <t>ノウリョク</t>
    </rPh>
    <rPh sb="7" eb="9">
      <t>ソウトウ</t>
    </rPh>
    <rPh sb="9" eb="11">
      <t>ジョウハツ</t>
    </rPh>
    <rPh sb="11" eb="12">
      <t>リョウ</t>
    </rPh>
    <phoneticPr fontId="25"/>
  </si>
  <si>
    <t>能力単位</t>
    <rPh sb="0" eb="2">
      <t>ノウリョク</t>
    </rPh>
    <rPh sb="2" eb="4">
      <t>タンイ</t>
    </rPh>
    <phoneticPr fontId="25"/>
  </si>
  <si>
    <t>効率</t>
    <rPh sb="0" eb="2">
      <t>コウリツ</t>
    </rPh>
    <phoneticPr fontId="25"/>
  </si>
  <si>
    <t>日使用時間(t)</t>
    <rPh sb="0" eb="1">
      <t>ニチ</t>
    </rPh>
    <rPh sb="3" eb="5">
      <t>ジカン</t>
    </rPh>
    <phoneticPr fontId="25"/>
  </si>
  <si>
    <t>負荷率</t>
    <rPh sb="0" eb="3">
      <t>フカリツ</t>
    </rPh>
    <phoneticPr fontId="25"/>
  </si>
  <si>
    <t>必要熱量</t>
    <rPh sb="0" eb="2">
      <t>ヒツヨウ</t>
    </rPh>
    <rPh sb="2" eb="4">
      <t>ネツリョウ</t>
    </rPh>
    <phoneticPr fontId="25"/>
  </si>
  <si>
    <t>燃料消費量(A')</t>
    <phoneticPr fontId="25"/>
  </si>
  <si>
    <t>CO2削減量(C-C')</t>
    <rPh sb="3" eb="6">
      <t>サクゲンリョウ</t>
    </rPh>
    <phoneticPr fontId="25"/>
  </si>
  <si>
    <t>％</t>
    <phoneticPr fontId="25"/>
  </si>
  <si>
    <t>時間／日</t>
    <rPh sb="0" eb="2">
      <t>ジカン</t>
    </rPh>
    <rPh sb="3" eb="4">
      <t>ニチ</t>
    </rPh>
    <phoneticPr fontId="25"/>
  </si>
  <si>
    <t>日／年</t>
    <rPh sb="0" eb="1">
      <t>ニチ</t>
    </rPh>
    <rPh sb="2" eb="3">
      <t>ネン</t>
    </rPh>
    <phoneticPr fontId="25"/>
  </si>
  <si>
    <t>時間／年</t>
    <rPh sb="0" eb="2">
      <t>ジカン</t>
    </rPh>
    <rPh sb="3" eb="4">
      <t>ネン</t>
    </rPh>
    <phoneticPr fontId="25"/>
  </si>
  <si>
    <t>MJ</t>
    <phoneticPr fontId="25"/>
  </si>
  <si>
    <t>円</t>
    <rPh sb="0" eb="1">
      <t>エン</t>
    </rPh>
    <phoneticPr fontId="25"/>
  </si>
  <si>
    <t>入力例</t>
    <rPh sb="0" eb="2">
      <t>ニュウリョク</t>
    </rPh>
    <rPh sb="2" eb="3">
      <t>レイ</t>
    </rPh>
    <phoneticPr fontId="25"/>
  </si>
  <si>
    <t>FR-085LMK</t>
    <phoneticPr fontId="25"/>
  </si>
  <si>
    <t>電気</t>
    <rPh sb="0" eb="2">
      <t>デンキ</t>
    </rPh>
    <phoneticPr fontId="25"/>
  </si>
  <si>
    <t>kW</t>
  </si>
  <si>
    <t>EQ-235YWK</t>
    <phoneticPr fontId="25"/>
  </si>
  <si>
    <t>排出係数</t>
    <rPh sb="0" eb="4">
      <t>ハイシュツケイスウ</t>
    </rPh>
    <phoneticPr fontId="25"/>
  </si>
  <si>
    <t>燃料単位</t>
    <rPh sb="0" eb="4">
      <t>ネンリョウタンイ</t>
    </rPh>
    <phoneticPr fontId="25"/>
  </si>
  <si>
    <t>単価</t>
    <rPh sb="0" eb="2">
      <t>タンカ</t>
    </rPh>
    <phoneticPr fontId="25"/>
  </si>
  <si>
    <t>原油換算発熱量</t>
    <rPh sb="0" eb="4">
      <t>ゲンユカンザン</t>
    </rPh>
    <rPh sb="4" eb="7">
      <t>ハツネツリョウ</t>
    </rPh>
    <phoneticPr fontId="25"/>
  </si>
  <si>
    <t>必要熱量換算</t>
    <rPh sb="0" eb="4">
      <t>ヒツヨウネツリョウ</t>
    </rPh>
    <rPh sb="4" eb="6">
      <t>カンサン</t>
    </rPh>
    <phoneticPr fontId="25"/>
  </si>
  <si>
    <t>設備1</t>
    <rPh sb="0" eb="2">
      <t>セツビ</t>
    </rPh>
    <phoneticPr fontId="25"/>
  </si>
  <si>
    <t>設備2</t>
    <rPh sb="0" eb="2">
      <t>セツビ</t>
    </rPh>
    <phoneticPr fontId="25"/>
  </si>
  <si>
    <t>設備3</t>
    <rPh sb="0" eb="2">
      <t>セツビ</t>
    </rPh>
    <phoneticPr fontId="25"/>
  </si>
  <si>
    <t>設備4</t>
    <rPh sb="0" eb="2">
      <t>セツビ</t>
    </rPh>
    <phoneticPr fontId="25"/>
  </si>
  <si>
    <t>設備5</t>
    <rPh sb="0" eb="2">
      <t>セツビ</t>
    </rPh>
    <phoneticPr fontId="25"/>
  </si>
  <si>
    <t>設備6</t>
    <rPh sb="0" eb="2">
      <t>セツビ</t>
    </rPh>
    <phoneticPr fontId="25"/>
  </si>
  <si>
    <t>設備7</t>
    <rPh sb="0" eb="2">
      <t>セツビ</t>
    </rPh>
    <phoneticPr fontId="25"/>
  </si>
  <si>
    <t>設備8</t>
    <rPh sb="0" eb="2">
      <t>セツビ</t>
    </rPh>
    <phoneticPr fontId="25"/>
  </si>
  <si>
    <t>設備9</t>
    <rPh sb="0" eb="2">
      <t>セツビ</t>
    </rPh>
    <phoneticPr fontId="25"/>
  </si>
  <si>
    <t>設備10</t>
    <rPh sb="0" eb="2">
      <t>セツビ</t>
    </rPh>
    <phoneticPr fontId="25"/>
  </si>
  <si>
    <t>電気</t>
    <rPh sb="0" eb="2">
      <t>デンキ</t>
    </rPh>
    <phoneticPr fontId="2"/>
  </si>
  <si>
    <t>原油</t>
    <phoneticPr fontId="2"/>
  </si>
  <si>
    <t>北陸電力</t>
    <rPh sb="0" eb="4">
      <t>ホクリクデンリョク</t>
    </rPh>
    <phoneticPr fontId="2"/>
  </si>
  <si>
    <t>LPG</t>
    <phoneticPr fontId="2"/>
  </si>
  <si>
    <t>LNG</t>
    <phoneticPr fontId="2"/>
  </si>
  <si>
    <t>金沢エナジー</t>
    <rPh sb="0" eb="2">
      <t>カナザワ</t>
    </rPh>
    <phoneticPr fontId="2"/>
  </si>
  <si>
    <t>備考</t>
    <rPh sb="0" eb="2">
      <t>ビコウ</t>
    </rPh>
    <phoneticPr fontId="2"/>
  </si>
  <si>
    <t>都市ガス</t>
    <rPh sb="0" eb="2">
      <t>トシ</t>
    </rPh>
    <phoneticPr fontId="2"/>
  </si>
  <si>
    <r>
      <t>kg-CO2/m</t>
    </r>
    <r>
      <rPr>
        <vertAlign val="superscript"/>
        <sz val="10"/>
        <color theme="1"/>
        <rFont val="ＭＳ Ｐゴシック"/>
        <family val="3"/>
        <charset val="128"/>
      </rPr>
      <t>3</t>
    </r>
    <phoneticPr fontId="2"/>
  </si>
  <si>
    <r>
      <t>m</t>
    </r>
    <r>
      <rPr>
        <vertAlign val="superscript"/>
        <sz val="10"/>
        <color theme="1"/>
        <rFont val="ＭＳ Ｐゴシック"/>
        <family val="3"/>
        <charset val="128"/>
      </rPr>
      <t>3</t>
    </r>
    <phoneticPr fontId="2"/>
  </si>
  <si>
    <r>
      <t>kg-CO</t>
    </r>
    <r>
      <rPr>
        <vertAlign val="subscript"/>
        <sz val="10"/>
        <color theme="1"/>
        <rFont val="ＭＳ Ｐゴシック"/>
        <family val="3"/>
        <charset val="128"/>
      </rPr>
      <t>2</t>
    </r>
    <r>
      <rPr>
        <sz val="10"/>
        <color theme="1"/>
        <rFont val="ＭＳ Ｐゴシック"/>
        <family val="3"/>
        <charset val="128"/>
      </rPr>
      <t>/kWh</t>
    </r>
    <phoneticPr fontId="2"/>
  </si>
  <si>
    <r>
      <t>kg-CO</t>
    </r>
    <r>
      <rPr>
        <vertAlign val="subscript"/>
        <sz val="10"/>
        <color theme="1"/>
        <rFont val="ＭＳ Ｐゴシック"/>
        <family val="3"/>
        <charset val="128"/>
      </rPr>
      <t>2</t>
    </r>
    <r>
      <rPr>
        <sz val="10"/>
        <color theme="1"/>
        <rFont val="ＭＳ Ｐゴシック"/>
        <family val="3"/>
        <charset val="128"/>
      </rPr>
      <t>/L</t>
    </r>
    <phoneticPr fontId="2"/>
  </si>
  <si>
    <r>
      <t>kg-CO</t>
    </r>
    <r>
      <rPr>
        <vertAlign val="subscript"/>
        <sz val="10"/>
        <color theme="1"/>
        <rFont val="ＭＳ Ｐゴシック"/>
        <family val="3"/>
        <charset val="128"/>
      </rPr>
      <t>2</t>
    </r>
    <r>
      <rPr>
        <sz val="10"/>
        <color theme="1"/>
        <rFont val="ＭＳ Ｐゴシック"/>
        <family val="3"/>
        <charset val="128"/>
      </rPr>
      <t>/kg</t>
    </r>
    <phoneticPr fontId="2"/>
  </si>
  <si>
    <t>電気</t>
    <rPh sb="0" eb="2">
      <t>デンキ</t>
    </rPh>
    <phoneticPr fontId="2"/>
  </si>
  <si>
    <t>1kWhをMJに変換すると3.6MJ</t>
    <rPh sb="8" eb="10">
      <t>ヘンカン</t>
    </rPh>
    <phoneticPr fontId="2"/>
  </si>
  <si>
    <t>電気の場合は3.6を使い燃料の場合はAT12を使う</t>
    <rPh sb="0" eb="2">
      <t>デンキ</t>
    </rPh>
    <rPh sb="3" eb="5">
      <t>バアイ</t>
    </rPh>
    <rPh sb="10" eb="11">
      <t>ツカ</t>
    </rPh>
    <rPh sb="12" eb="14">
      <t>ネンリョウ</t>
    </rPh>
    <rPh sb="15" eb="17">
      <t>バアイ</t>
    </rPh>
    <rPh sb="23" eb="24">
      <t>ツカ</t>
    </rPh>
    <phoneticPr fontId="2"/>
  </si>
  <si>
    <t>電力消費量</t>
    <rPh sb="0" eb="2">
      <t>デンリョク</t>
    </rPh>
    <rPh sb="2" eb="5">
      <t>ショウヒリョウ</t>
    </rPh>
    <phoneticPr fontId="25"/>
  </si>
  <si>
    <t>規格</t>
    <rPh sb="0" eb="2">
      <t>キカク</t>
    </rPh>
    <phoneticPr fontId="25"/>
  </si>
  <si>
    <t>効率タイプ</t>
    <rPh sb="0" eb="2">
      <t>コウリツ</t>
    </rPh>
    <phoneticPr fontId="25"/>
  </si>
  <si>
    <t>極数</t>
    <rPh sb="0" eb="1">
      <t>キョク</t>
    </rPh>
    <rPh sb="1" eb="2">
      <t>スウ</t>
    </rPh>
    <phoneticPr fontId="25"/>
  </si>
  <si>
    <t>消費電力(b=a/p)</t>
    <rPh sb="0" eb="4">
      <t>ショウヒデンリョク</t>
    </rPh>
    <phoneticPr fontId="25"/>
  </si>
  <si>
    <t>インバーター</t>
    <phoneticPr fontId="25"/>
  </si>
  <si>
    <t>消費電力(b'=a'/p')</t>
    <rPh sb="0" eb="4">
      <t>ショウヒデンリョク</t>
    </rPh>
    <phoneticPr fontId="25"/>
  </si>
  <si>
    <t>負荷率(r')</t>
    <rPh sb="0" eb="3">
      <t>フカリツ</t>
    </rPh>
    <phoneticPr fontId="25"/>
  </si>
  <si>
    <t>年間消費電力量(E')</t>
    <rPh sb="0" eb="2">
      <t>ネンカン</t>
    </rPh>
    <rPh sb="2" eb="7">
      <t>ショウヒデンリョクリョウ</t>
    </rPh>
    <phoneticPr fontId="25"/>
  </si>
  <si>
    <t>CO2排出量(C')</t>
    <phoneticPr fontId="25"/>
  </si>
  <si>
    <t>電力削減量（ΔE=E-E’）</t>
    <rPh sb="0" eb="2">
      <t>デンリョク</t>
    </rPh>
    <rPh sb="2" eb="5">
      <t>サクゲンリョウ</t>
    </rPh>
    <phoneticPr fontId="25"/>
  </si>
  <si>
    <t>CO2削減量（ΔC=C-C’）</t>
    <rPh sb="3" eb="6">
      <t>サクゲンリョウ</t>
    </rPh>
    <phoneticPr fontId="25"/>
  </si>
  <si>
    <t>kW</t>
    <phoneticPr fontId="25"/>
  </si>
  <si>
    <t>%</t>
    <phoneticPr fontId="25"/>
  </si>
  <si>
    <t>kW/台</t>
    <rPh sb="3" eb="4">
      <t>ダイ</t>
    </rPh>
    <phoneticPr fontId="25"/>
  </si>
  <si>
    <t>h/年</t>
    <rPh sb="2" eb="3">
      <t>ネン</t>
    </rPh>
    <phoneticPr fontId="25"/>
  </si>
  <si>
    <t>OLF-754FE</t>
  </si>
  <si>
    <t>IE2</t>
  </si>
  <si>
    <t>4極</t>
  </si>
  <si>
    <t>　</t>
  </si>
  <si>
    <t>PLM-75DBC</t>
  </si>
  <si>
    <t>IE3</t>
  </si>
  <si>
    <t>○</t>
  </si>
  <si>
    <t>CO2排出量(C)</t>
    <phoneticPr fontId="25"/>
  </si>
  <si>
    <t>機器1</t>
    <rPh sb="0" eb="2">
      <t>キキ</t>
    </rPh>
    <phoneticPr fontId="25"/>
  </si>
  <si>
    <t>機器2</t>
    <rPh sb="0" eb="2">
      <t>キキ</t>
    </rPh>
    <phoneticPr fontId="25"/>
  </si>
  <si>
    <t>機器3</t>
    <rPh sb="0" eb="2">
      <t>キキ</t>
    </rPh>
    <phoneticPr fontId="25"/>
  </si>
  <si>
    <t>機器4</t>
    <rPh sb="0" eb="2">
      <t>キキ</t>
    </rPh>
    <phoneticPr fontId="25"/>
  </si>
  <si>
    <t>機器5</t>
    <rPh sb="0" eb="2">
      <t>キキ</t>
    </rPh>
    <phoneticPr fontId="25"/>
  </si>
  <si>
    <t>機器6</t>
    <rPh sb="0" eb="2">
      <t>キキ</t>
    </rPh>
    <phoneticPr fontId="25"/>
  </si>
  <si>
    <t>機器7</t>
    <rPh sb="0" eb="2">
      <t>キキ</t>
    </rPh>
    <phoneticPr fontId="25"/>
  </si>
  <si>
    <t>機器8</t>
    <rPh sb="0" eb="2">
      <t>キキ</t>
    </rPh>
    <phoneticPr fontId="25"/>
  </si>
  <si>
    <t>機器9</t>
    <rPh sb="0" eb="2">
      <t>キキ</t>
    </rPh>
    <phoneticPr fontId="25"/>
  </si>
  <si>
    <t>機器10</t>
    <rPh sb="0" eb="2">
      <t>キキ</t>
    </rPh>
    <phoneticPr fontId="25"/>
  </si>
  <si>
    <t>IE1</t>
  </si>
  <si>
    <t>aaa</t>
    <phoneticPr fontId="2"/>
  </si>
  <si>
    <t>出力（kW）</t>
    <rPh sb="0" eb="2">
      <t>シュツリョク</t>
    </rPh>
    <phoneticPr fontId="25"/>
  </si>
  <si>
    <t>2極</t>
    <phoneticPr fontId="25"/>
  </si>
  <si>
    <t>4極</t>
    <phoneticPr fontId="25"/>
  </si>
  <si>
    <t>6極</t>
    <phoneticPr fontId="25"/>
  </si>
  <si>
    <t>8極</t>
    <rPh sb="1" eb="2">
      <t>キョク</t>
    </rPh>
    <phoneticPr fontId="25"/>
  </si>
  <si>
    <t>IE1</t>
    <phoneticPr fontId="25"/>
  </si>
  <si>
    <t>IE2</t>
    <phoneticPr fontId="25"/>
  </si>
  <si>
    <t>IE3</t>
    <phoneticPr fontId="25"/>
  </si>
  <si>
    <t>IE4</t>
    <phoneticPr fontId="25"/>
  </si>
  <si>
    <t>機器
No.</t>
    <rPh sb="0" eb="2">
      <t>キキ</t>
    </rPh>
    <phoneticPr fontId="2"/>
  </si>
  <si>
    <t>機器
No.</t>
    <rPh sb="0" eb="2">
      <t>キキ</t>
    </rPh>
    <phoneticPr fontId="25"/>
  </si>
  <si>
    <t>モータ数
(n)</t>
    <rPh sb="3" eb="4">
      <t>スウ</t>
    </rPh>
    <phoneticPr fontId="25"/>
  </si>
  <si>
    <t>定格出力
(a)</t>
    <rPh sb="0" eb="2">
      <t>テイカク</t>
    </rPh>
    <rPh sb="2" eb="4">
      <t>シュツリョク</t>
    </rPh>
    <phoneticPr fontId="25"/>
  </si>
  <si>
    <t>効率
(p)</t>
    <rPh sb="0" eb="2">
      <t>コウリツ</t>
    </rPh>
    <phoneticPr fontId="25"/>
  </si>
  <si>
    <t>負荷率
(r)</t>
    <rPh sb="0" eb="3">
      <t>フカリツ</t>
    </rPh>
    <phoneticPr fontId="25"/>
  </si>
  <si>
    <t>年間使用
日数</t>
    <rPh sb="0" eb="2">
      <t>ネンカン</t>
    </rPh>
    <rPh sb="2" eb="4">
      <t>シヨウ</t>
    </rPh>
    <rPh sb="5" eb="7">
      <t>ニッスウ</t>
    </rPh>
    <phoneticPr fontId="25"/>
  </si>
  <si>
    <t>年間使用
時間(t)</t>
    <rPh sb="0" eb="2">
      <t>ネンカン</t>
    </rPh>
    <phoneticPr fontId="25"/>
  </si>
  <si>
    <t>モータ数
(n')</t>
    <rPh sb="3" eb="4">
      <t>スウ</t>
    </rPh>
    <phoneticPr fontId="25"/>
  </si>
  <si>
    <t>bbb</t>
    <phoneticPr fontId="2"/>
  </si>
  <si>
    <t>定格出力
(a')</t>
    <rPh sb="0" eb="2">
      <t>テイカク</t>
    </rPh>
    <rPh sb="2" eb="4">
      <t>シュツリョク</t>
    </rPh>
    <phoneticPr fontId="25"/>
  </si>
  <si>
    <t>効率
(p')</t>
    <rPh sb="0" eb="2">
      <t>コウリツ</t>
    </rPh>
    <phoneticPr fontId="25"/>
  </si>
  <si>
    <t>L/年</t>
    <phoneticPr fontId="2"/>
  </si>
  <si>
    <t>計</t>
    <rPh sb="0" eb="1">
      <t>ケイ</t>
    </rPh>
    <phoneticPr fontId="2"/>
  </si>
  <si>
    <t>液化石油ガス</t>
    <rPh sb="0" eb="4">
      <t>エキカセキユ</t>
    </rPh>
    <phoneticPr fontId="2"/>
  </si>
  <si>
    <t>注3）更新後の数値は更新前の走行距離（燃費値×年間燃料使用量）をもとに算出</t>
    <rPh sb="0" eb="1">
      <t>チュウ</t>
    </rPh>
    <rPh sb="3" eb="6">
      <t>コウシンゴ</t>
    </rPh>
    <rPh sb="7" eb="9">
      <t>スウチ</t>
    </rPh>
    <rPh sb="10" eb="13">
      <t>コウシンマエ</t>
    </rPh>
    <rPh sb="14" eb="18">
      <t>ソウコウキョリ</t>
    </rPh>
    <rPh sb="19" eb="22">
      <t>ネンピチ</t>
    </rPh>
    <rPh sb="23" eb="25">
      <t>ネンカン</t>
    </rPh>
    <rPh sb="25" eb="30">
      <t>ネンリョウシヨウリョウ</t>
    </rPh>
    <rPh sb="35" eb="37">
      <t>サンシュツ</t>
    </rPh>
    <phoneticPr fontId="2"/>
  </si>
  <si>
    <t>注5）電気自動車の使用電力量は0.12kWh/kmとした</t>
    <rPh sb="0" eb="1">
      <t>チュウ</t>
    </rPh>
    <rPh sb="3" eb="8">
      <t>デンキジドウシャ</t>
    </rPh>
    <rPh sb="9" eb="14">
      <t>シヨウデンリョクリョウ</t>
    </rPh>
    <phoneticPr fontId="2"/>
  </si>
  <si>
    <t>注1）更新前の車種はガソリン車または軽油車であることを想定している（ハイブリット車を含む）</t>
    <rPh sb="0" eb="1">
      <t>チュウ</t>
    </rPh>
    <rPh sb="3" eb="6">
      <t>コウシンマエ</t>
    </rPh>
    <rPh sb="7" eb="9">
      <t>シャシュ</t>
    </rPh>
    <rPh sb="14" eb="15">
      <t>シャ</t>
    </rPh>
    <rPh sb="18" eb="20">
      <t>ケイユ</t>
    </rPh>
    <rPh sb="20" eb="21">
      <t>シャ</t>
    </rPh>
    <rPh sb="27" eb="29">
      <t>ソウテイ</t>
    </rPh>
    <rPh sb="40" eb="41">
      <t>シャ</t>
    </rPh>
    <rPh sb="42" eb="43">
      <t>フク</t>
    </rPh>
    <phoneticPr fontId="2"/>
  </si>
  <si>
    <t>年間消費電力量</t>
    <rPh sb="0" eb="2">
      <t>ネンカン</t>
    </rPh>
    <rPh sb="2" eb="4">
      <t>ショウヒ</t>
    </rPh>
    <rPh sb="4" eb="6">
      <t>デンリョク</t>
    </rPh>
    <rPh sb="6" eb="7">
      <t>リョウ</t>
    </rPh>
    <phoneticPr fontId="2"/>
  </si>
  <si>
    <t>年間消費
電力量(E)</t>
    <rPh sb="2" eb="4">
      <t>ショウヒ</t>
    </rPh>
    <rPh sb="5" eb="7">
      <t>デンリョク</t>
    </rPh>
    <phoneticPr fontId="2"/>
  </si>
  <si>
    <t>年間消費
電力量(E')</t>
    <rPh sb="2" eb="4">
      <t>ショウヒ</t>
    </rPh>
    <rPh sb="5" eb="7">
      <t>デンリョク</t>
    </rPh>
    <rPh sb="7" eb="8">
      <t>リョウ</t>
    </rPh>
    <phoneticPr fontId="2"/>
  </si>
  <si>
    <t>年間消費電力量(E)</t>
    <rPh sb="2" eb="6">
      <t>ショウヒデンリョク</t>
    </rPh>
    <phoneticPr fontId="2"/>
  </si>
  <si>
    <t>年間消費
電力量(E')</t>
    <phoneticPr fontId="2"/>
  </si>
  <si>
    <t>年間消費
ガス量</t>
    <rPh sb="0" eb="2">
      <t>ネンカン</t>
    </rPh>
    <rPh sb="2" eb="4">
      <t>ショウヒ</t>
    </rPh>
    <rPh sb="7" eb="8">
      <t>リョウ</t>
    </rPh>
    <phoneticPr fontId="2"/>
  </si>
  <si>
    <t>定格消費
ガス量</t>
    <rPh sb="0" eb="4">
      <t>テイカクショウヒ</t>
    </rPh>
    <rPh sb="7" eb="8">
      <t>リョウ</t>
    </rPh>
    <phoneticPr fontId="2"/>
  </si>
  <si>
    <t>年間消費
ガス量</t>
    <rPh sb="0" eb="4">
      <t>ネンカンショウヒ</t>
    </rPh>
    <rPh sb="7" eb="8">
      <t>リョウ</t>
    </rPh>
    <phoneticPr fontId="2"/>
  </si>
  <si>
    <t>年間燃料
消費量(F')</t>
    <rPh sb="0" eb="2">
      <t>ネンカン</t>
    </rPh>
    <rPh sb="7" eb="8">
      <t>リョウ</t>
    </rPh>
    <phoneticPr fontId="25"/>
  </si>
  <si>
    <t>年間使用
時間(b')</t>
    <rPh sb="0" eb="2">
      <t>ネンカン</t>
    </rPh>
    <rPh sb="5" eb="7">
      <t>ジカン</t>
    </rPh>
    <phoneticPr fontId="25"/>
  </si>
  <si>
    <t>原油換算
使用量</t>
    <phoneticPr fontId="25"/>
  </si>
  <si>
    <t>年間燃料
消費量(F)</t>
    <rPh sb="0" eb="2">
      <t>ネンカン</t>
    </rPh>
    <rPh sb="7" eb="8">
      <t>リョウ</t>
    </rPh>
    <phoneticPr fontId="25"/>
  </si>
  <si>
    <t>年間使用
時間(b)</t>
    <rPh sb="0" eb="2">
      <t>ネンカン</t>
    </rPh>
    <rPh sb="5" eb="7">
      <t>ジカン</t>
    </rPh>
    <phoneticPr fontId="25"/>
  </si>
  <si>
    <t>年間使用
日数</t>
    <rPh sb="0" eb="1">
      <t>アイダ</t>
    </rPh>
    <rPh sb="1" eb="3">
      <t>シヨウ</t>
    </rPh>
    <rPh sb="5" eb="7">
      <t>ニッスウ</t>
    </rPh>
    <phoneticPr fontId="25"/>
  </si>
  <si>
    <t>定格燃料
消費量(A)</t>
    <rPh sb="0" eb="2">
      <t>テイカク</t>
    </rPh>
    <phoneticPr fontId="25"/>
  </si>
  <si>
    <t>年間使用
時間(t')</t>
    <phoneticPr fontId="25"/>
  </si>
  <si>
    <t>kWh/年</t>
    <rPh sb="4" eb="5">
      <t>ネン</t>
    </rPh>
    <phoneticPr fontId="2"/>
  </si>
  <si>
    <t>CO2
削減量</t>
    <rPh sb="4" eb="7">
      <t>サクゲンリョウ</t>
    </rPh>
    <phoneticPr fontId="2"/>
  </si>
  <si>
    <t>注2）車両管理番号は複数の車両を所有している場合に使用してください</t>
    <rPh sb="0" eb="1">
      <t>チュウ</t>
    </rPh>
    <rPh sb="3" eb="5">
      <t>シャリョウ</t>
    </rPh>
    <rPh sb="5" eb="9">
      <t>カンリバンゴウ</t>
    </rPh>
    <rPh sb="10" eb="12">
      <t>フクスウ</t>
    </rPh>
    <rPh sb="13" eb="15">
      <t>シャリョウ</t>
    </rPh>
    <rPh sb="16" eb="18">
      <t>ショユウ</t>
    </rPh>
    <rPh sb="22" eb="24">
      <t>バアイ</t>
    </rPh>
    <rPh sb="25" eb="27">
      <t>シヨウ</t>
    </rPh>
    <phoneticPr fontId="2"/>
  </si>
  <si>
    <t>CO2
排出量(C)</t>
    <rPh sb="4" eb="7">
      <t>ハイシュツリョウ</t>
    </rPh>
    <phoneticPr fontId="25"/>
  </si>
  <si>
    <t>kg-CO2/年</t>
    <rPh sb="7" eb="8">
      <t>ネン</t>
    </rPh>
    <phoneticPr fontId="25"/>
  </si>
  <si>
    <r>
      <t>原油換算エネルギー使用量</t>
    </r>
    <r>
      <rPr>
        <vertAlign val="superscript"/>
        <sz val="10"/>
        <color theme="1"/>
        <rFont val="ＭＳ Ｐゴシック"/>
        <family val="3"/>
        <charset val="128"/>
      </rPr>
      <t>※</t>
    </r>
    <phoneticPr fontId="2"/>
  </si>
  <si>
    <t>※：年間消費電力量（kWh/年）×単位発熱量（MJ/kWh）×0.0000258（kl/MJ）</t>
    <rPh sb="2" eb="9">
      <t>ネンカンショウヒデンリョクリョウ</t>
    </rPh>
    <rPh sb="14" eb="15">
      <t>ネン</t>
    </rPh>
    <rPh sb="17" eb="22">
      <t>タンイハツネツリョウ</t>
    </rPh>
    <phoneticPr fontId="2"/>
  </si>
  <si>
    <t>計（ガソリン）</t>
    <rPh sb="0" eb="1">
      <t>ケイ</t>
    </rPh>
    <phoneticPr fontId="2"/>
  </si>
  <si>
    <t>計（軽油）</t>
    <rPh sb="0" eb="1">
      <t>ケイ</t>
    </rPh>
    <rPh sb="2" eb="4">
      <t>ケイユ</t>
    </rPh>
    <phoneticPr fontId="2"/>
  </si>
  <si>
    <t>計（電気）</t>
    <rPh sb="0" eb="1">
      <t>ケイ</t>
    </rPh>
    <rPh sb="2" eb="4">
      <t>デンキ</t>
    </rPh>
    <phoneticPr fontId="2"/>
  </si>
  <si>
    <t>削減量</t>
    <rPh sb="0" eb="3">
      <t>サクゲンリョウ</t>
    </rPh>
    <phoneticPr fontId="2"/>
  </si>
  <si>
    <t>年間ガソリン使用量</t>
    <rPh sb="0" eb="2">
      <t>ネンカン</t>
    </rPh>
    <rPh sb="6" eb="9">
      <t>シヨウリョウ</t>
    </rPh>
    <phoneticPr fontId="2"/>
  </si>
  <si>
    <t>年間軽油使用量</t>
    <rPh sb="0" eb="2">
      <t>ネンカン</t>
    </rPh>
    <rPh sb="2" eb="4">
      <t>ケイユ</t>
    </rPh>
    <rPh sb="4" eb="7">
      <t>シヨウリョウ</t>
    </rPh>
    <phoneticPr fontId="2"/>
  </si>
  <si>
    <t>変圧器の更新</t>
    <rPh sb="0" eb="3">
      <t>ヘンアツキ</t>
    </rPh>
    <rPh sb="4" eb="6">
      <t>コウシン</t>
    </rPh>
    <phoneticPr fontId="25"/>
  </si>
  <si>
    <t>単位</t>
    <rPh sb="0" eb="2">
      <t>タンイ</t>
    </rPh>
    <phoneticPr fontId="5"/>
  </si>
  <si>
    <t>更新後</t>
    <rPh sb="0" eb="2">
      <t>コウシン</t>
    </rPh>
    <rPh sb="2" eb="3">
      <t>ゴ</t>
    </rPh>
    <phoneticPr fontId="5"/>
  </si>
  <si>
    <t>削減率</t>
    <rPh sb="0" eb="3">
      <t>サクゲンリツ</t>
    </rPh>
    <phoneticPr fontId="5"/>
  </si>
  <si>
    <t>円/年</t>
    <rPh sb="0" eb="1">
      <t>エン</t>
    </rPh>
    <rPh sb="2" eb="3">
      <t>ネン</t>
    </rPh>
    <phoneticPr fontId="5"/>
  </si>
  <si>
    <t>kl/年</t>
    <rPh sb="3" eb="4">
      <t>ネン</t>
    </rPh>
    <phoneticPr fontId="5"/>
  </si>
  <si>
    <t>メーカー・型番</t>
    <rPh sb="5" eb="7">
      <t>カタバン</t>
    </rPh>
    <phoneticPr fontId="25"/>
  </si>
  <si>
    <t>容量</t>
    <rPh sb="0" eb="2">
      <t>ヨウリョウ</t>
    </rPh>
    <phoneticPr fontId="25"/>
  </si>
  <si>
    <t>無負荷損（a）</t>
    <rPh sb="0" eb="4">
      <t>ムフカゾン</t>
    </rPh>
    <phoneticPr fontId="25"/>
  </si>
  <si>
    <t>負荷損(b)</t>
    <rPh sb="0" eb="3">
      <t>フカゾン</t>
    </rPh>
    <phoneticPr fontId="25"/>
  </si>
  <si>
    <t>年間使用時間(t)</t>
    <rPh sb="0" eb="2">
      <t>ネンカン</t>
    </rPh>
    <rPh sb="4" eb="6">
      <t>ジカン</t>
    </rPh>
    <phoneticPr fontId="25"/>
  </si>
  <si>
    <t>年間消費電力量(E)</t>
    <rPh sb="0" eb="2">
      <t>ネンカン</t>
    </rPh>
    <rPh sb="2" eb="7">
      <t>ショウヒデンリョクリョウ</t>
    </rPh>
    <phoneticPr fontId="25"/>
  </si>
  <si>
    <t>電力削減量（E-E’）</t>
    <rPh sb="0" eb="2">
      <t>デンリョク</t>
    </rPh>
    <rPh sb="2" eb="5">
      <t>サクゲンリョウ</t>
    </rPh>
    <phoneticPr fontId="25"/>
  </si>
  <si>
    <t>CO2削減量（C-C’）</t>
    <rPh sb="3" eb="6">
      <t>サクゲンリョウ</t>
    </rPh>
    <phoneticPr fontId="25"/>
  </si>
  <si>
    <t>kVA</t>
    <phoneticPr fontId="25"/>
  </si>
  <si>
    <t>W</t>
    <phoneticPr fontId="25"/>
  </si>
  <si>
    <t>KK-1L</t>
  </si>
  <si>
    <t>3相：66kV→210V</t>
    <phoneticPr fontId="25"/>
  </si>
  <si>
    <t>ME-1R</t>
  </si>
  <si>
    <t>合計</t>
    <rPh sb="0" eb="2">
      <t>ゴウケイ</t>
    </rPh>
    <phoneticPr fontId="25"/>
  </si>
  <si>
    <t>機器11</t>
    <rPh sb="0" eb="2">
      <t>キキ</t>
    </rPh>
    <phoneticPr fontId="2"/>
  </si>
  <si>
    <t>機器12</t>
    <rPh sb="0" eb="2">
      <t>キキ</t>
    </rPh>
    <phoneticPr fontId="2"/>
  </si>
  <si>
    <t>機器13</t>
    <rPh sb="0" eb="2">
      <t>キキ</t>
    </rPh>
    <phoneticPr fontId="2"/>
  </si>
  <si>
    <t>機器14</t>
    <rPh sb="0" eb="2">
      <t>キキ</t>
    </rPh>
    <phoneticPr fontId="2"/>
  </si>
  <si>
    <t>機器15</t>
    <rPh sb="0" eb="2">
      <t>キキ</t>
    </rPh>
    <phoneticPr fontId="2"/>
  </si>
  <si>
    <t>機器16</t>
    <rPh sb="0" eb="2">
      <t>キキ</t>
    </rPh>
    <phoneticPr fontId="2"/>
  </si>
  <si>
    <t>機器17</t>
    <rPh sb="0" eb="2">
      <t>キキ</t>
    </rPh>
    <phoneticPr fontId="2"/>
  </si>
  <si>
    <t>機器18</t>
    <rPh sb="0" eb="2">
      <t>キキ</t>
    </rPh>
    <phoneticPr fontId="2"/>
  </si>
  <si>
    <t>機器19</t>
    <rPh sb="0" eb="2">
      <t>キキ</t>
    </rPh>
    <phoneticPr fontId="2"/>
  </si>
  <si>
    <t>機器20</t>
    <rPh sb="0" eb="2">
      <t>キキ</t>
    </rPh>
    <phoneticPr fontId="2"/>
  </si>
  <si>
    <t>設備11</t>
    <rPh sb="0" eb="2">
      <t>セツビ</t>
    </rPh>
    <phoneticPr fontId="25"/>
  </si>
  <si>
    <t>設備12</t>
    <rPh sb="0" eb="2">
      <t>セツビ</t>
    </rPh>
    <phoneticPr fontId="25"/>
  </si>
  <si>
    <t>設備13</t>
    <rPh sb="0" eb="2">
      <t>セツビ</t>
    </rPh>
    <phoneticPr fontId="25"/>
  </si>
  <si>
    <t>設備14</t>
    <rPh sb="0" eb="2">
      <t>セツビ</t>
    </rPh>
    <phoneticPr fontId="25"/>
  </si>
  <si>
    <t>設備15</t>
    <rPh sb="0" eb="2">
      <t>セツビ</t>
    </rPh>
    <phoneticPr fontId="25"/>
  </si>
  <si>
    <t>設備16</t>
    <rPh sb="0" eb="2">
      <t>セツビ</t>
    </rPh>
    <phoneticPr fontId="25"/>
  </si>
  <si>
    <t>設備17</t>
    <rPh sb="0" eb="2">
      <t>セツビ</t>
    </rPh>
    <phoneticPr fontId="25"/>
  </si>
  <si>
    <t>設備18</t>
    <rPh sb="0" eb="2">
      <t>セツビ</t>
    </rPh>
    <phoneticPr fontId="25"/>
  </si>
  <si>
    <t>設備19</t>
    <rPh sb="0" eb="2">
      <t>セツビ</t>
    </rPh>
    <phoneticPr fontId="25"/>
  </si>
  <si>
    <t>設備20</t>
    <rPh sb="0" eb="2">
      <t>セツビ</t>
    </rPh>
    <phoneticPr fontId="25"/>
  </si>
  <si>
    <t>機器11</t>
    <rPh sb="0" eb="2">
      <t>キキ</t>
    </rPh>
    <phoneticPr fontId="25"/>
  </si>
  <si>
    <t>機器12</t>
    <rPh sb="0" eb="2">
      <t>キキ</t>
    </rPh>
    <phoneticPr fontId="25"/>
  </si>
  <si>
    <t>機器13</t>
    <rPh sb="0" eb="2">
      <t>キキ</t>
    </rPh>
    <phoneticPr fontId="25"/>
  </si>
  <si>
    <t>機器14</t>
    <rPh sb="0" eb="2">
      <t>キキ</t>
    </rPh>
    <phoneticPr fontId="25"/>
  </si>
  <si>
    <t>機器15</t>
    <rPh sb="0" eb="2">
      <t>キキ</t>
    </rPh>
    <phoneticPr fontId="25"/>
  </si>
  <si>
    <t>機器16</t>
    <rPh sb="0" eb="2">
      <t>キキ</t>
    </rPh>
    <phoneticPr fontId="25"/>
  </si>
  <si>
    <t>機器17</t>
    <rPh sb="0" eb="2">
      <t>キキ</t>
    </rPh>
    <phoneticPr fontId="25"/>
  </si>
  <si>
    <t>機器18</t>
    <rPh sb="0" eb="2">
      <t>キキ</t>
    </rPh>
    <phoneticPr fontId="25"/>
  </si>
  <si>
    <t>機器19</t>
    <rPh sb="0" eb="2">
      <t>キキ</t>
    </rPh>
    <phoneticPr fontId="25"/>
  </si>
  <si>
    <t>機器20</t>
    <rPh sb="0" eb="2">
      <t>キキ</t>
    </rPh>
    <phoneticPr fontId="25"/>
  </si>
  <si>
    <t>負荷損
(b)</t>
    <rPh sb="0" eb="3">
      <t>フカゾン</t>
    </rPh>
    <phoneticPr fontId="25"/>
  </si>
  <si>
    <t>kgCO2/年</t>
    <rPh sb="6" eb="7">
      <t>ネン</t>
    </rPh>
    <phoneticPr fontId="25"/>
  </si>
  <si>
    <t>相数
変圧比</t>
    <rPh sb="0" eb="1">
      <t>ソウ</t>
    </rPh>
    <rPh sb="1" eb="2">
      <t>スウ</t>
    </rPh>
    <rPh sb="3" eb="5">
      <t>ヘンアツ</t>
    </rPh>
    <rPh sb="5" eb="6">
      <t>ヒ</t>
    </rPh>
    <phoneticPr fontId="25"/>
  </si>
  <si>
    <t>原油換算エネルギー使用量※</t>
    <rPh sb="0" eb="4">
      <t>ゲンユカンザン</t>
    </rPh>
    <rPh sb="9" eb="12">
      <t>シヨウリョウ</t>
    </rPh>
    <phoneticPr fontId="25"/>
  </si>
  <si>
    <r>
      <t>原油換算エネルギー使用量</t>
    </r>
    <r>
      <rPr>
        <vertAlign val="superscript"/>
        <sz val="10"/>
        <color theme="1"/>
        <rFont val="ＭＳ Ｐゴシック"/>
        <family val="3"/>
        <charset val="128"/>
      </rPr>
      <t>※</t>
    </r>
    <phoneticPr fontId="2"/>
  </si>
  <si>
    <t>kg-CO2/年</t>
  </si>
  <si>
    <t>L/年</t>
  </si>
  <si>
    <t>電力使用量</t>
    <rPh sb="0" eb="5">
      <t>デンリョクシヨウリョウ</t>
    </rPh>
    <phoneticPr fontId="2"/>
  </si>
  <si>
    <t>記入例</t>
    <rPh sb="0" eb="3">
      <t>キニュウレイ</t>
    </rPh>
    <phoneticPr fontId="2"/>
  </si>
  <si>
    <t>車種・
管理番号</t>
    <rPh sb="0" eb="2">
      <t>シャシュ</t>
    </rPh>
    <rPh sb="4" eb="6">
      <t>カンリ</t>
    </rPh>
    <rPh sb="6" eb="8">
      <t>バンゴウ</t>
    </rPh>
    <phoneticPr fontId="2"/>
  </si>
  <si>
    <t>車種1</t>
    <rPh sb="0" eb="2">
      <t>シャシュ</t>
    </rPh>
    <phoneticPr fontId="2"/>
  </si>
  <si>
    <t>車種2</t>
    <rPh sb="0" eb="2">
      <t>シャシュ</t>
    </rPh>
    <phoneticPr fontId="2"/>
  </si>
  <si>
    <t>車種3</t>
    <rPh sb="0" eb="2">
      <t>シャシュ</t>
    </rPh>
    <phoneticPr fontId="2"/>
  </si>
  <si>
    <t>車種4</t>
    <rPh sb="0" eb="2">
      <t>シャシュ</t>
    </rPh>
    <phoneticPr fontId="2"/>
  </si>
  <si>
    <t>車種5</t>
    <rPh sb="0" eb="2">
      <t>シャシュ</t>
    </rPh>
    <phoneticPr fontId="2"/>
  </si>
  <si>
    <t>車種6</t>
    <rPh sb="0" eb="2">
      <t>シャシュ</t>
    </rPh>
    <phoneticPr fontId="2"/>
  </si>
  <si>
    <t>車種7</t>
    <rPh sb="0" eb="2">
      <t>シャシュ</t>
    </rPh>
    <phoneticPr fontId="2"/>
  </si>
  <si>
    <t>車種8</t>
    <rPh sb="0" eb="2">
      <t>シャシュ</t>
    </rPh>
    <phoneticPr fontId="2"/>
  </si>
  <si>
    <t>車種9</t>
    <rPh sb="0" eb="2">
      <t>シャシュ</t>
    </rPh>
    <phoneticPr fontId="2"/>
  </si>
  <si>
    <t>車種10</t>
    <rPh sb="0" eb="2">
      <t>シャシュ</t>
    </rPh>
    <phoneticPr fontId="2"/>
  </si>
  <si>
    <t>車種11</t>
    <rPh sb="0" eb="2">
      <t>シャシュ</t>
    </rPh>
    <phoneticPr fontId="2"/>
  </si>
  <si>
    <t>車種12</t>
    <rPh sb="0" eb="2">
      <t>シャシュ</t>
    </rPh>
    <phoneticPr fontId="2"/>
  </si>
  <si>
    <t>車種13</t>
    <rPh sb="0" eb="2">
      <t>シャシュ</t>
    </rPh>
    <phoneticPr fontId="2"/>
  </si>
  <si>
    <t>車種14</t>
    <rPh sb="0" eb="2">
      <t>シャシュ</t>
    </rPh>
    <phoneticPr fontId="2"/>
  </si>
  <si>
    <t>車種15</t>
    <rPh sb="0" eb="2">
      <t>シャシュ</t>
    </rPh>
    <phoneticPr fontId="2"/>
  </si>
  <si>
    <t>車種16</t>
    <rPh sb="0" eb="2">
      <t>シャシュ</t>
    </rPh>
    <phoneticPr fontId="2"/>
  </si>
  <si>
    <t>車種17</t>
    <rPh sb="0" eb="2">
      <t>シャシュ</t>
    </rPh>
    <phoneticPr fontId="2"/>
  </si>
  <si>
    <t>車種18</t>
    <rPh sb="0" eb="2">
      <t>シャシュ</t>
    </rPh>
    <phoneticPr fontId="2"/>
  </si>
  <si>
    <t>車種19</t>
    <rPh sb="0" eb="2">
      <t>シャシュ</t>
    </rPh>
    <phoneticPr fontId="2"/>
  </si>
  <si>
    <t>車種20</t>
    <rPh sb="0" eb="2">
      <t>シャシュ</t>
    </rPh>
    <phoneticPr fontId="2"/>
  </si>
  <si>
    <t>●仕様書（例）</t>
    <rPh sb="1" eb="4">
      <t>シヨウショ</t>
    </rPh>
    <rPh sb="5" eb="6">
      <t>レイ</t>
    </rPh>
    <phoneticPr fontId="5"/>
  </si>
  <si>
    <t>品名</t>
    <rPh sb="0" eb="2">
      <t>ヒンメイ</t>
    </rPh>
    <phoneticPr fontId="5"/>
  </si>
  <si>
    <t>LED23630　（LED40形ベースライト）</t>
  </si>
  <si>
    <t>特性表</t>
    <rPh sb="0" eb="2">
      <t>トクセイ</t>
    </rPh>
    <rPh sb="2" eb="3">
      <t>ヒョウ</t>
    </rPh>
    <phoneticPr fontId="5"/>
  </si>
  <si>
    <t>定格電圧</t>
    <rPh sb="0" eb="2">
      <t>テイカク</t>
    </rPh>
    <phoneticPr fontId="5"/>
  </si>
  <si>
    <t>100V</t>
  </si>
  <si>
    <t>200V</t>
  </si>
  <si>
    <t>242V</t>
  </si>
  <si>
    <t>入力電流</t>
  </si>
  <si>
    <t>0.266A</t>
  </si>
  <si>
    <t>0.134A</t>
  </si>
  <si>
    <t>0.112A</t>
  </si>
  <si>
    <t>定格消費電力</t>
  </si>
  <si>
    <t>40.0W</t>
    <phoneticPr fontId="2"/>
  </si>
  <si>
    <t>機種名</t>
    <rPh sb="0" eb="3">
      <t>キシュメイ</t>
    </rPh>
    <phoneticPr fontId="5"/>
  </si>
  <si>
    <t>電源</t>
    <rPh sb="0" eb="2">
      <t>デンゲン</t>
    </rPh>
    <phoneticPr fontId="5"/>
  </si>
  <si>
    <t>三相　200V　50/60Hz</t>
    <rPh sb="0" eb="2">
      <t>サンソウ</t>
    </rPh>
    <phoneticPr fontId="5"/>
  </si>
  <si>
    <t>定格冷房能力</t>
    <rPh sb="0" eb="2">
      <t>テイカク</t>
    </rPh>
    <rPh sb="2" eb="4">
      <t>レイボウ</t>
    </rPh>
    <rPh sb="4" eb="6">
      <t>ノウリョク</t>
    </rPh>
    <phoneticPr fontId="5"/>
  </si>
  <si>
    <t>定格冷房消費電力</t>
    <rPh sb="0" eb="2">
      <t>テイカク</t>
    </rPh>
    <rPh sb="2" eb="4">
      <t>レイボウ</t>
    </rPh>
    <rPh sb="4" eb="6">
      <t>ショウヒ</t>
    </rPh>
    <rPh sb="6" eb="8">
      <t>デンリョク</t>
    </rPh>
    <phoneticPr fontId="5"/>
  </si>
  <si>
    <t>定格暖房能力</t>
    <rPh sb="0" eb="2">
      <t>テイカク</t>
    </rPh>
    <rPh sb="2" eb="4">
      <t>ダンボウ</t>
    </rPh>
    <rPh sb="4" eb="6">
      <t>ノウリョク</t>
    </rPh>
    <phoneticPr fontId="5"/>
  </si>
  <si>
    <t>定格暖房消費電力</t>
    <rPh sb="0" eb="2">
      <t>テイカク</t>
    </rPh>
    <rPh sb="2" eb="4">
      <t>ダンボウ</t>
    </rPh>
    <rPh sb="4" eb="6">
      <t>ショウヒ</t>
    </rPh>
    <rPh sb="6" eb="8">
      <t>デンリョク</t>
    </rPh>
    <phoneticPr fontId="5"/>
  </si>
  <si>
    <t>最大暖房低温能力</t>
    <rPh sb="0" eb="2">
      <t>サイダイ</t>
    </rPh>
    <rPh sb="2" eb="4">
      <t>ダンボウ</t>
    </rPh>
    <rPh sb="4" eb="6">
      <t>テイオン</t>
    </rPh>
    <rPh sb="6" eb="8">
      <t>ノウリョク</t>
    </rPh>
    <phoneticPr fontId="5"/>
  </si>
  <si>
    <t>最大暖房低温消費電力</t>
    <rPh sb="0" eb="2">
      <t>サイダイ</t>
    </rPh>
    <rPh sb="2" eb="4">
      <t>ダンボウ</t>
    </rPh>
    <rPh sb="4" eb="6">
      <t>テイオン</t>
    </rPh>
    <rPh sb="6" eb="8">
      <t>ショウヒ</t>
    </rPh>
    <rPh sb="8" eb="10">
      <t>デンリョク</t>
    </rPh>
    <phoneticPr fontId="5"/>
  </si>
  <si>
    <r>
      <t>定格冷房消費電力（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レイボウ</t>
    </rPh>
    <rPh sb="4" eb="6">
      <t>ショウヒ</t>
    </rPh>
    <rPh sb="6" eb="8">
      <t>デンリョク</t>
    </rPh>
    <phoneticPr fontId="5"/>
  </si>
  <si>
    <r>
      <t>定格暖房消費電力（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2</t>
    </r>
    <r>
      <rPr>
        <sz val="11"/>
        <color theme="1"/>
        <rFont val="游ゴシック"/>
        <family val="2"/>
        <charset val="128"/>
        <scheme val="minor"/>
      </rPr>
      <t>）</t>
    </r>
    <rPh sb="0" eb="2">
      <t>テイカク</t>
    </rPh>
    <rPh sb="2" eb="4">
      <t>ダンボウ</t>
    </rPh>
    <rPh sb="4" eb="6">
      <t>ショウヒ</t>
    </rPh>
    <rPh sb="6" eb="8">
      <t>デンリョク</t>
    </rPh>
    <phoneticPr fontId="5"/>
  </si>
  <si>
    <t>空調設備（GHP）の更新</t>
    <rPh sb="0" eb="2">
      <t>クウチョウ</t>
    </rPh>
    <rPh sb="2" eb="4">
      <t>セツビ</t>
    </rPh>
    <rPh sb="10" eb="12">
      <t>コウシン</t>
    </rPh>
    <phoneticPr fontId="2"/>
  </si>
  <si>
    <t>燃料種類</t>
    <rPh sb="0" eb="2">
      <t>ネンリョウ</t>
    </rPh>
    <rPh sb="2" eb="4">
      <t>シュルイ</t>
    </rPh>
    <phoneticPr fontId="12"/>
  </si>
  <si>
    <t>ガス種類</t>
    <rPh sb="2" eb="4">
      <t>シュルイ</t>
    </rPh>
    <phoneticPr fontId="12"/>
  </si>
  <si>
    <t>都市ガス</t>
  </si>
  <si>
    <t>LP</t>
  </si>
  <si>
    <t>三相（単層）　200V　50/60Hz</t>
    <rPh sb="0" eb="2">
      <t>サンソウ</t>
    </rPh>
    <rPh sb="3" eb="5">
      <t>タンソウ</t>
    </rPh>
    <phoneticPr fontId="5"/>
  </si>
  <si>
    <t>定格冷房</t>
    <rPh sb="0" eb="2">
      <t>テイカク</t>
    </rPh>
    <rPh sb="2" eb="4">
      <t>レイボウ</t>
    </rPh>
    <phoneticPr fontId="5"/>
  </si>
  <si>
    <t>能力</t>
    <rPh sb="0" eb="2">
      <t>ノウリョク</t>
    </rPh>
    <phoneticPr fontId="5"/>
  </si>
  <si>
    <t>消費電力</t>
    <rPh sb="0" eb="2">
      <t>ショウヒ</t>
    </rPh>
    <rPh sb="2" eb="4">
      <t>デンリョク</t>
    </rPh>
    <phoneticPr fontId="5"/>
  </si>
  <si>
    <t>燃料消費量</t>
    <rPh sb="0" eb="2">
      <t>ネンリョウ</t>
    </rPh>
    <rPh sb="2" eb="5">
      <t>ショウヒリョウ</t>
    </rPh>
    <phoneticPr fontId="5"/>
  </si>
  <si>
    <t>中間冷房</t>
    <rPh sb="0" eb="2">
      <t>チュウカン</t>
    </rPh>
    <rPh sb="2" eb="4">
      <t>レイボウ</t>
    </rPh>
    <phoneticPr fontId="5"/>
  </si>
  <si>
    <t>定格暖房</t>
    <rPh sb="0" eb="2">
      <t>テイカク</t>
    </rPh>
    <rPh sb="2" eb="4">
      <t>ダンボウ</t>
    </rPh>
    <phoneticPr fontId="5"/>
  </si>
  <si>
    <t>中間暖房</t>
    <rPh sb="0" eb="2">
      <t>チュウカン</t>
    </rPh>
    <rPh sb="2" eb="4">
      <t>ダンボウ</t>
    </rPh>
    <phoneticPr fontId="5"/>
  </si>
  <si>
    <t>最大暖房
低温</t>
    <rPh sb="0" eb="2">
      <t>サイダイ</t>
    </rPh>
    <rPh sb="2" eb="4">
      <t>ダンボウ</t>
    </rPh>
    <rPh sb="5" eb="7">
      <t>テイオン</t>
    </rPh>
    <phoneticPr fontId="5"/>
  </si>
  <si>
    <t>●仕様書（例）</t>
    <rPh sb="1" eb="4">
      <t>シヨウショ</t>
    </rPh>
    <rPh sb="5" eb="6">
      <t>レイ</t>
    </rPh>
    <phoneticPr fontId="25"/>
  </si>
  <si>
    <t>機種名</t>
    <rPh sb="0" eb="3">
      <t>キシュメイ</t>
    </rPh>
    <phoneticPr fontId="25"/>
  </si>
  <si>
    <t>EQ-235YWK（エコキュート）</t>
    <phoneticPr fontId="25"/>
  </si>
  <si>
    <t>ヒートポンプユニット</t>
    <phoneticPr fontId="25"/>
  </si>
  <si>
    <t>中間期標準加熱能力/消費電力</t>
    <rPh sb="0" eb="3">
      <t>チュウカンキ</t>
    </rPh>
    <rPh sb="3" eb="5">
      <t>ヒョウジュン</t>
    </rPh>
    <rPh sb="5" eb="7">
      <t>カネツ</t>
    </rPh>
    <rPh sb="7" eb="9">
      <t>ノウリョク</t>
    </rPh>
    <rPh sb="10" eb="12">
      <t>ショウヒ</t>
    </rPh>
    <rPh sb="12" eb="14">
      <t>デンリョク</t>
    </rPh>
    <phoneticPr fontId="25"/>
  </si>
  <si>
    <t>7.2kW/1.64kW</t>
    <phoneticPr fontId="25"/>
  </si>
  <si>
    <t>中間期標準運転電流</t>
    <rPh sb="0" eb="3">
      <t>チュウカンキ</t>
    </rPh>
    <rPh sb="3" eb="5">
      <t>ヒョウジュン</t>
    </rPh>
    <rPh sb="5" eb="7">
      <t>ウンテン</t>
    </rPh>
    <rPh sb="7" eb="9">
      <t>デンリュウ</t>
    </rPh>
    <phoneticPr fontId="25"/>
  </si>
  <si>
    <t>9.2A</t>
    <phoneticPr fontId="25"/>
  </si>
  <si>
    <t>中間期標準最大加熱能力</t>
    <rPh sb="0" eb="3">
      <t>チュウカンキ</t>
    </rPh>
    <rPh sb="3" eb="5">
      <t>ヒョウジュン</t>
    </rPh>
    <rPh sb="5" eb="7">
      <t>サイダイ</t>
    </rPh>
    <rPh sb="7" eb="9">
      <t>カネツ</t>
    </rPh>
    <rPh sb="9" eb="11">
      <t>ノウリョク</t>
    </rPh>
    <phoneticPr fontId="25"/>
  </si>
  <si>
    <t>冬季高温最大加熱能力</t>
    <rPh sb="0" eb="2">
      <t>トウキ</t>
    </rPh>
    <rPh sb="2" eb="4">
      <t>コウオン</t>
    </rPh>
    <rPh sb="4" eb="6">
      <t>サイダイ</t>
    </rPh>
    <rPh sb="6" eb="8">
      <t>カネツ</t>
    </rPh>
    <rPh sb="8" eb="10">
      <t>ノウリョク</t>
    </rPh>
    <phoneticPr fontId="25"/>
  </si>
  <si>
    <t>7.2kW/2.50kW</t>
    <phoneticPr fontId="25"/>
  </si>
  <si>
    <t>－</t>
    <phoneticPr fontId="25"/>
  </si>
  <si>
    <t>形式</t>
    <rPh sb="0" eb="2">
      <t>ケイシキ</t>
    </rPh>
    <phoneticPr fontId="25"/>
  </si>
  <si>
    <t>設置場所</t>
    <rPh sb="0" eb="4">
      <t>セッチバショ</t>
    </rPh>
    <phoneticPr fontId="25"/>
  </si>
  <si>
    <t>%</t>
    <phoneticPr fontId="2"/>
  </si>
  <si>
    <t>CO₂削減量</t>
    <phoneticPr fontId="2"/>
  </si>
  <si>
    <t>kg-CO₂/月</t>
    <phoneticPr fontId="2"/>
  </si>
  <si>
    <t>記入例1</t>
    <rPh sb="0" eb="3">
      <t>キニュウレイ</t>
    </rPh>
    <phoneticPr fontId="2"/>
  </si>
  <si>
    <t>記入例2</t>
    <rPh sb="0" eb="3">
      <t>キニュウレイ</t>
    </rPh>
    <phoneticPr fontId="2"/>
  </si>
  <si>
    <t>蓄電池1</t>
    <rPh sb="0" eb="3">
      <t>チクデンチ</t>
    </rPh>
    <phoneticPr fontId="2"/>
  </si>
  <si>
    <t>蓄電池2</t>
    <rPh sb="0" eb="3">
      <t>チクデンチ</t>
    </rPh>
    <phoneticPr fontId="2"/>
  </si>
  <si>
    <t>蓄電池3</t>
    <rPh sb="0" eb="3">
      <t>チクデンチ</t>
    </rPh>
    <phoneticPr fontId="2"/>
  </si>
  <si>
    <t>蓄電池4</t>
    <rPh sb="0" eb="3">
      <t>チクデンチ</t>
    </rPh>
    <phoneticPr fontId="2"/>
  </si>
  <si>
    <t>蓄電池5</t>
    <rPh sb="0" eb="3">
      <t>チクデンチ</t>
    </rPh>
    <phoneticPr fontId="2"/>
  </si>
  <si>
    <t>蓄電池6</t>
    <rPh sb="0" eb="3">
      <t>チクデンチ</t>
    </rPh>
    <phoneticPr fontId="2"/>
  </si>
  <si>
    <t>蓄電池7</t>
    <rPh sb="0" eb="3">
      <t>チクデンチ</t>
    </rPh>
    <phoneticPr fontId="2"/>
  </si>
  <si>
    <t>蓄電池8</t>
    <rPh sb="0" eb="3">
      <t>チクデンチ</t>
    </rPh>
    <phoneticPr fontId="2"/>
  </si>
  <si>
    <t>蓄電池9</t>
    <rPh sb="0" eb="3">
      <t>チクデンチ</t>
    </rPh>
    <phoneticPr fontId="2"/>
  </si>
  <si>
    <t>蓄電池10</t>
    <rPh sb="0" eb="3">
      <t>チクデンチ</t>
    </rPh>
    <phoneticPr fontId="2"/>
  </si>
  <si>
    <t>kWh/㎡/日</t>
    <phoneticPr fontId="2"/>
  </si>
  <si>
    <t>kWh/㎡/月</t>
    <rPh sb="6" eb="7">
      <t>ツキ</t>
    </rPh>
    <phoneticPr fontId="2"/>
  </si>
  <si>
    <t>月間
発電量</t>
    <rPh sb="0" eb="2">
      <t>ゲッカン</t>
    </rPh>
    <rPh sb="3" eb="6">
      <t>ハツデンリョウ</t>
    </rPh>
    <phoneticPr fontId="2"/>
  </si>
  <si>
    <t>システム効率</t>
    <rPh sb="4" eb="6">
      <t>コウリツ</t>
    </rPh>
    <phoneticPr fontId="2"/>
  </si>
  <si>
    <t>施設1</t>
    <rPh sb="0" eb="2">
      <t>シセツ</t>
    </rPh>
    <phoneticPr fontId="2"/>
  </si>
  <si>
    <t>施設2</t>
    <rPh sb="0" eb="2">
      <t>シセツ</t>
    </rPh>
    <phoneticPr fontId="2"/>
  </si>
  <si>
    <t>施設3</t>
    <rPh sb="0" eb="2">
      <t>シセツ</t>
    </rPh>
    <phoneticPr fontId="2"/>
  </si>
  <si>
    <t>施設4</t>
    <rPh sb="0" eb="2">
      <t>シセツ</t>
    </rPh>
    <phoneticPr fontId="2"/>
  </si>
  <si>
    <t>施設5</t>
    <rPh sb="0" eb="2">
      <t>シセツ</t>
    </rPh>
    <phoneticPr fontId="2"/>
  </si>
  <si>
    <t>直近年度購入電力量</t>
    <rPh sb="0" eb="4">
      <t>チョクキンネンド</t>
    </rPh>
    <rPh sb="4" eb="6">
      <t>コウニュウ</t>
    </rPh>
    <rPh sb="6" eb="8">
      <t>デンリョク</t>
    </rPh>
    <rPh sb="8" eb="9">
      <t>リョウ</t>
    </rPh>
    <phoneticPr fontId="2"/>
  </si>
  <si>
    <t>年間余剰発電量</t>
    <rPh sb="0" eb="2">
      <t>ネンカン</t>
    </rPh>
    <rPh sb="2" eb="4">
      <t>ヨジョウ</t>
    </rPh>
    <rPh sb="4" eb="6">
      <t>ハツデン</t>
    </rPh>
    <rPh sb="6" eb="7">
      <t>リョウ</t>
    </rPh>
    <phoneticPr fontId="2"/>
  </si>
  <si>
    <t>売電価格</t>
    <rPh sb="0" eb="4">
      <t>バイデンカカク</t>
    </rPh>
    <phoneticPr fontId="2"/>
  </si>
  <si>
    <t>自家消費率</t>
    <rPh sb="0" eb="4">
      <t>ジカショウヒ</t>
    </rPh>
    <rPh sb="4" eb="5">
      <t>リツ</t>
    </rPh>
    <phoneticPr fontId="2"/>
  </si>
  <si>
    <t>FIT認定</t>
    <rPh sb="3" eb="5">
      <t>ニンテイ</t>
    </rPh>
    <phoneticPr fontId="2"/>
  </si>
  <si>
    <t>－</t>
    <phoneticPr fontId="2"/>
  </si>
  <si>
    <t>単位</t>
    <rPh sb="0" eb="2">
      <t>タンイ</t>
    </rPh>
    <phoneticPr fontId="2"/>
  </si>
  <si>
    <t>項目</t>
    <rPh sb="0" eb="2">
      <t>コウモク</t>
    </rPh>
    <phoneticPr fontId="2"/>
  </si>
  <si>
    <t>屋根</t>
    <rPh sb="0" eb="2">
      <t>ヤネ</t>
    </rPh>
    <phoneticPr fontId="2"/>
  </si>
  <si>
    <t>地上</t>
  </si>
  <si>
    <t>屋根</t>
    <rPh sb="0" eb="2">
      <t>ヤネ</t>
    </rPh>
    <phoneticPr fontId="2"/>
  </si>
  <si>
    <t>地上</t>
    <rPh sb="0" eb="2">
      <t>チジョウ</t>
    </rPh>
    <phoneticPr fontId="2"/>
  </si>
  <si>
    <t>円/kWh</t>
    <rPh sb="0" eb="1">
      <t>エン</t>
    </rPh>
    <phoneticPr fontId="2"/>
  </si>
  <si>
    <t>円/年</t>
    <rPh sb="0" eb="1">
      <t>エン</t>
    </rPh>
    <rPh sb="2" eb="3">
      <t>ネン</t>
    </rPh>
    <phoneticPr fontId="2"/>
  </si>
  <si>
    <t>新規設置</t>
    <rPh sb="0" eb="4">
      <t>シンキセッチ</t>
    </rPh>
    <phoneticPr fontId="2"/>
  </si>
  <si>
    <t>事業所のエネルギー使用量、二酸化炭素排出量の把握</t>
    <rPh sb="0" eb="3">
      <t>ジギョウショ</t>
    </rPh>
    <rPh sb="9" eb="12">
      <t>シヨウリョウ</t>
    </rPh>
    <rPh sb="13" eb="18">
      <t>ニサンカタンソ</t>
    </rPh>
    <rPh sb="18" eb="21">
      <t>ハイシュツリョウ</t>
    </rPh>
    <rPh sb="22" eb="24">
      <t>ハアク</t>
    </rPh>
    <phoneticPr fontId="2"/>
  </si>
  <si>
    <t>システム容量</t>
    <rPh sb="4" eb="6">
      <t>ヨウリョウ</t>
    </rPh>
    <phoneticPr fontId="2"/>
  </si>
  <si>
    <t>10kW以上50ｋW未満　</t>
    <rPh sb="4" eb="6">
      <t>イジョウ</t>
    </rPh>
    <rPh sb="10" eb="12">
      <t>ミマン</t>
    </rPh>
    <phoneticPr fontId="2"/>
  </si>
  <si>
    <t>kWh</t>
  </si>
  <si>
    <t>単位</t>
    <rPh sb="0" eb="2">
      <t>タンイ</t>
    </rPh>
    <phoneticPr fontId="2"/>
  </si>
  <si>
    <t>価格</t>
    <rPh sb="0" eb="2">
      <t>カカク</t>
    </rPh>
    <phoneticPr fontId="2"/>
  </si>
  <si>
    <t>設置場所</t>
    <rPh sb="0" eb="4">
      <t>セッチバショ</t>
    </rPh>
    <phoneticPr fontId="2"/>
  </si>
  <si>
    <t>地上</t>
    <rPh sb="0" eb="2">
      <t>チジョウ</t>
    </rPh>
    <phoneticPr fontId="2"/>
  </si>
  <si>
    <t>屋根</t>
    <rPh sb="0" eb="2">
      <t>ヤネ</t>
    </rPh>
    <phoneticPr fontId="2"/>
  </si>
  <si>
    <t>円/kWh</t>
    <rPh sb="0" eb="1">
      <t>エン</t>
    </rPh>
    <phoneticPr fontId="2"/>
  </si>
  <si>
    <t>50kW以上250ｋW未満　</t>
    <rPh sb="4" eb="6">
      <t>イジョウ</t>
    </rPh>
    <rPh sb="11" eb="13">
      <t>ミマン</t>
    </rPh>
    <phoneticPr fontId="2"/>
  </si>
  <si>
    <t>システム容量</t>
    <rPh sb="4" eb="6">
      <t>ヨウリョウ</t>
    </rPh>
    <phoneticPr fontId="2"/>
  </si>
  <si>
    <t>m</t>
    <phoneticPr fontId="2"/>
  </si>
  <si>
    <t>m³/秒</t>
    <phoneticPr fontId="2"/>
  </si>
  <si>
    <t>月間
発電量</t>
    <phoneticPr fontId="33"/>
  </si>
  <si>
    <t>※ 総合効率は70%で固定</t>
    <rPh sb="2" eb="4">
      <t>ソウゴウ</t>
    </rPh>
    <rPh sb="4" eb="6">
      <t>コウリツ</t>
    </rPh>
    <rPh sb="11" eb="13">
      <t>コテイ</t>
    </rPh>
    <phoneticPr fontId="2"/>
  </si>
  <si>
    <t>A社</t>
  </si>
  <si>
    <t>Type-H100</t>
  </si>
  <si>
    <t>区分</t>
    <rPh sb="0" eb="2">
      <t>クブン</t>
    </rPh>
    <phoneticPr fontId="2"/>
  </si>
  <si>
    <t>新設</t>
    <rPh sb="0" eb="2">
      <t>シンセツ</t>
    </rPh>
    <phoneticPr fontId="2"/>
  </si>
  <si>
    <t>発電量</t>
    <rPh sb="0" eb="3">
      <t>ハツデンリョウ</t>
    </rPh>
    <phoneticPr fontId="2"/>
  </si>
  <si>
    <t>200ｋW未満</t>
    <rPh sb="5" eb="7">
      <t>ミマン</t>
    </rPh>
    <phoneticPr fontId="2"/>
  </si>
  <si>
    <t>既設導水路</t>
    <rPh sb="0" eb="5">
      <t>キセツドウスイロ</t>
    </rPh>
    <phoneticPr fontId="2"/>
  </si>
  <si>
    <t>活用型</t>
    <rPh sb="0" eb="3">
      <t>カツヨウガタ</t>
    </rPh>
    <phoneticPr fontId="2"/>
  </si>
  <si>
    <t>200kW以上1,000kW未満　</t>
    <rPh sb="5" eb="7">
      <t>イジョウ</t>
    </rPh>
    <rPh sb="14" eb="16">
      <t>ミマン</t>
    </rPh>
    <phoneticPr fontId="2"/>
  </si>
  <si>
    <t>1,000kW以上5,000kW未満</t>
    <rPh sb="7" eb="9">
      <t>イジョウ</t>
    </rPh>
    <rPh sb="16" eb="18">
      <t>ミマン</t>
    </rPh>
    <phoneticPr fontId="2"/>
  </si>
  <si>
    <t>5,000kW以上30,000kW未満</t>
    <rPh sb="7" eb="9">
      <t>イジョウ</t>
    </rPh>
    <rPh sb="17" eb="19">
      <t>ミマン</t>
    </rPh>
    <phoneticPr fontId="2"/>
  </si>
  <si>
    <t>既設導水路活用型</t>
  </si>
  <si>
    <t>既設導水路活用型</t>
    <rPh sb="0" eb="2">
      <t>キセツ</t>
    </rPh>
    <rPh sb="2" eb="5">
      <t>ドウスイロ</t>
    </rPh>
    <rPh sb="5" eb="8">
      <t>カツヨウガタ</t>
    </rPh>
    <phoneticPr fontId="2"/>
  </si>
  <si>
    <t>FIT買取価格
（売電単価）</t>
    <rPh sb="3" eb="7">
      <t>カイトリカカク</t>
    </rPh>
    <rPh sb="9" eb="13">
      <t>バイデンタンカ</t>
    </rPh>
    <phoneticPr fontId="2"/>
  </si>
  <si>
    <t>発電施設
区分</t>
    <rPh sb="0" eb="4">
      <t>ハツデンシセツ</t>
    </rPh>
    <rPh sb="5" eb="7">
      <t>クブン</t>
    </rPh>
    <phoneticPr fontId="2"/>
  </si>
  <si>
    <t>消費電力
(a)</t>
    <rPh sb="0" eb="4">
      <t>ショウヒデンリョク</t>
    </rPh>
    <phoneticPr fontId="2"/>
  </si>
  <si>
    <t>数量
(n)</t>
    <rPh sb="0" eb="2">
      <t>スウリョウ</t>
    </rPh>
    <phoneticPr fontId="2"/>
  </si>
  <si>
    <t>日使用時間
(t)</t>
    <rPh sb="0" eb="1">
      <t>ヒ</t>
    </rPh>
    <rPh sb="1" eb="3">
      <t>シヨウ</t>
    </rPh>
    <rPh sb="3" eb="5">
      <t>ジカン</t>
    </rPh>
    <phoneticPr fontId="2"/>
  </si>
  <si>
    <t>年間使用
日数(d)</t>
    <rPh sb="0" eb="2">
      <t>ネンカン</t>
    </rPh>
    <rPh sb="2" eb="4">
      <t>シヨウ</t>
    </rPh>
    <rPh sb="5" eb="7">
      <t>ニッスウ</t>
    </rPh>
    <phoneticPr fontId="2"/>
  </si>
  <si>
    <t>数量
(n')</t>
    <rPh sb="0" eb="2">
      <t>スウリョウ</t>
    </rPh>
    <phoneticPr fontId="2"/>
  </si>
  <si>
    <t>年間消費
電力量(E)</t>
    <rPh sb="0" eb="4">
      <t>ネンカンショウヒ</t>
    </rPh>
    <rPh sb="5" eb="8">
      <t>デンリョクリョウ</t>
    </rPh>
    <phoneticPr fontId="2"/>
  </si>
  <si>
    <t>CO2排出量
(C)</t>
    <rPh sb="3" eb="6">
      <t>ハイシュツリョウ</t>
    </rPh>
    <phoneticPr fontId="2"/>
  </si>
  <si>
    <t>CO2排出量
(C')</t>
    <rPh sb="3" eb="6">
      <t>ハイシュツリョウ</t>
    </rPh>
    <phoneticPr fontId="2"/>
  </si>
  <si>
    <t>電力削減量
(E-E')</t>
    <rPh sb="0" eb="2">
      <t>デンリョク</t>
    </rPh>
    <rPh sb="2" eb="5">
      <t>サクゲンリョウ</t>
    </rPh>
    <phoneticPr fontId="5"/>
  </si>
  <si>
    <t>CO2削減量
(C-C')</t>
    <rPh sb="3" eb="6">
      <t>サクゲンリョウ</t>
    </rPh>
    <phoneticPr fontId="5"/>
  </si>
  <si>
    <t>冷房時(R1)</t>
    <rPh sb="0" eb="3">
      <t>レイボウジ</t>
    </rPh>
    <phoneticPr fontId="2"/>
  </si>
  <si>
    <t>暖房時(R2)</t>
    <rPh sb="0" eb="3">
      <t>ダンボウジ</t>
    </rPh>
    <phoneticPr fontId="2"/>
  </si>
  <si>
    <t>年間消費
ガス量(F)</t>
    <rPh sb="0" eb="4">
      <t>ネンカンショウヒ</t>
    </rPh>
    <rPh sb="7" eb="8">
      <t>リョウ</t>
    </rPh>
    <phoneticPr fontId="2"/>
  </si>
  <si>
    <t>年間消費
ガス量(F')</t>
    <rPh sb="0" eb="2">
      <t>ネンカン</t>
    </rPh>
    <rPh sb="2" eb="4">
      <t>ショウヒ</t>
    </rPh>
    <rPh sb="7" eb="8">
      <t>リョウ</t>
    </rPh>
    <phoneticPr fontId="2"/>
  </si>
  <si>
    <t>CO2
排出量(C')</t>
    <rPh sb="4" eb="7">
      <t>ハイシュツリョウ</t>
    </rPh>
    <phoneticPr fontId="5"/>
  </si>
  <si>
    <t>燃料
削減量
(F-F')</t>
    <rPh sb="0" eb="2">
      <t>ネンリョウ</t>
    </rPh>
    <rPh sb="3" eb="6">
      <t>サクゲンリョウ</t>
    </rPh>
    <phoneticPr fontId="2"/>
  </si>
  <si>
    <t>CO2
削減量
（C-C'）</t>
    <rPh sb="4" eb="7">
      <t>サクゲンリョウ</t>
    </rPh>
    <phoneticPr fontId="5"/>
  </si>
  <si>
    <t>電力
削減量
（E-E'）</t>
    <rPh sb="0" eb="2">
      <t>デンリョク</t>
    </rPh>
    <rPh sb="3" eb="6">
      <t>サクゲンリョウ</t>
    </rPh>
    <phoneticPr fontId="5"/>
  </si>
  <si>
    <t>電力削減量（ΔE=E-E'）</t>
    <rPh sb="0" eb="2">
      <t>デンリョク</t>
    </rPh>
    <rPh sb="2" eb="5">
      <t>サクゲンリョウ</t>
    </rPh>
    <phoneticPr fontId="25"/>
  </si>
  <si>
    <t>CO2削減量（ΔC=C-C'）</t>
    <rPh sb="3" eb="6">
      <t>サクゲンリョウ</t>
    </rPh>
    <phoneticPr fontId="25"/>
  </si>
  <si>
    <t>無負荷損
（a）</t>
    <rPh sb="0" eb="4">
      <t>ムフカゾン</t>
    </rPh>
    <phoneticPr fontId="25"/>
  </si>
  <si>
    <t>HP設備：年間燃料消費量　（F=A×n×b×p）</t>
    <phoneticPr fontId="2"/>
  </si>
  <si>
    <t>kg-CO2/年</t>
    <rPh sb="7" eb="8">
      <t>ネン</t>
    </rPh>
    <phoneticPr fontId="2"/>
  </si>
  <si>
    <t>更新前</t>
    <rPh sb="0" eb="3">
      <t>コウシンマエ</t>
    </rPh>
    <phoneticPr fontId="2"/>
  </si>
  <si>
    <t>導入前</t>
    <rPh sb="0" eb="2">
      <t>ドウニュウ</t>
    </rPh>
    <rPh sb="2" eb="3">
      <t>マエ</t>
    </rPh>
    <phoneticPr fontId="25"/>
  </si>
  <si>
    <t>導入後</t>
    <rPh sb="0" eb="2">
      <t>ドウニュウ</t>
    </rPh>
    <rPh sb="2" eb="3">
      <t>ゴ</t>
    </rPh>
    <phoneticPr fontId="25"/>
  </si>
  <si>
    <t>設備名</t>
    <rPh sb="0" eb="3">
      <t>セツビメイ</t>
    </rPh>
    <phoneticPr fontId="25"/>
  </si>
  <si>
    <t>コンプレッサー1</t>
    <phoneticPr fontId="2"/>
  </si>
  <si>
    <r>
      <t>定格消費
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5" eb="7">
      <t>デンリョク</t>
    </rPh>
    <phoneticPr fontId="5"/>
  </si>
  <si>
    <r>
      <t>年間使用
時間(d</t>
    </r>
    <r>
      <rPr>
        <vertAlign val="subscript"/>
        <sz val="10"/>
        <color theme="1"/>
        <rFont val="ＭＳ Ｐゴシック"/>
        <family val="3"/>
        <charset val="128"/>
      </rPr>
      <t>1</t>
    </r>
    <r>
      <rPr>
        <sz val="10"/>
        <color theme="1"/>
        <rFont val="ＭＳ Ｐゴシック"/>
        <family val="3"/>
        <charset val="128"/>
      </rPr>
      <t>)</t>
    </r>
    <rPh sb="0" eb="2">
      <t>ネンカン</t>
    </rPh>
    <rPh sb="2" eb="4">
      <t>シヨウ</t>
    </rPh>
    <rPh sb="5" eb="7">
      <t>ジカン</t>
    </rPh>
    <phoneticPr fontId="5"/>
  </si>
  <si>
    <r>
      <t>定格消費
電力（a</t>
    </r>
    <r>
      <rPr>
        <vertAlign val="subscript"/>
        <sz val="10"/>
        <color theme="1"/>
        <rFont val="ＭＳ Ｐゴシック"/>
        <family val="3"/>
        <charset val="128"/>
      </rPr>
      <t>2</t>
    </r>
    <r>
      <rPr>
        <sz val="10"/>
        <color theme="1"/>
        <rFont val="ＭＳ Ｐゴシック"/>
        <family val="3"/>
        <charset val="128"/>
      </rPr>
      <t>）</t>
    </r>
    <rPh sb="2" eb="4">
      <t>ショウヒ</t>
    </rPh>
    <rPh sb="5" eb="7">
      <t>デンリョク</t>
    </rPh>
    <phoneticPr fontId="5"/>
  </si>
  <si>
    <r>
      <t>年間使用
時間(d</t>
    </r>
    <r>
      <rPr>
        <vertAlign val="subscript"/>
        <sz val="10"/>
        <color theme="1"/>
        <rFont val="ＭＳ Ｐゴシック"/>
        <family val="3"/>
        <charset val="128"/>
      </rPr>
      <t>2</t>
    </r>
    <r>
      <rPr>
        <sz val="10"/>
        <color theme="1"/>
        <rFont val="ＭＳ Ｐゴシック"/>
        <family val="3"/>
        <charset val="128"/>
      </rPr>
      <t>)</t>
    </r>
    <rPh sb="0" eb="2">
      <t>ネンカン</t>
    </rPh>
    <rPh sb="2" eb="4">
      <t>シヨウ</t>
    </rPh>
    <rPh sb="5" eb="7">
      <t>ジカン</t>
    </rPh>
    <phoneticPr fontId="5"/>
  </si>
  <si>
    <r>
      <t>CO2
排出量(C</t>
    </r>
    <r>
      <rPr>
        <vertAlign val="subscript"/>
        <sz val="10"/>
        <color theme="1"/>
        <rFont val="ＭＳ Ｐゴシック"/>
        <family val="3"/>
        <charset val="128"/>
      </rPr>
      <t>1</t>
    </r>
    <r>
      <rPr>
        <sz val="10"/>
        <color theme="1"/>
        <rFont val="ＭＳ Ｐゴシック"/>
        <family val="3"/>
        <charset val="128"/>
      </rPr>
      <t>)</t>
    </r>
    <rPh sb="4" eb="7">
      <t>ハイシュツリョウ</t>
    </rPh>
    <phoneticPr fontId="5"/>
  </si>
  <si>
    <r>
      <t>定格消費
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5" eb="7">
      <t>デンリョク</t>
    </rPh>
    <phoneticPr fontId="5"/>
  </si>
  <si>
    <r>
      <t>年間使用
時間(d'</t>
    </r>
    <r>
      <rPr>
        <vertAlign val="subscript"/>
        <sz val="10"/>
        <color theme="1"/>
        <rFont val="ＭＳ Ｐゴシック"/>
        <family val="3"/>
        <charset val="128"/>
      </rPr>
      <t>1</t>
    </r>
    <r>
      <rPr>
        <sz val="10"/>
        <color theme="1"/>
        <rFont val="ＭＳ Ｐゴシック"/>
        <family val="3"/>
        <charset val="128"/>
      </rPr>
      <t>)</t>
    </r>
    <rPh sb="0" eb="2">
      <t>ネンカン</t>
    </rPh>
    <rPh sb="2" eb="4">
      <t>シヨウ</t>
    </rPh>
    <rPh sb="5" eb="7">
      <t>ジカン</t>
    </rPh>
    <phoneticPr fontId="5"/>
  </si>
  <si>
    <r>
      <t>定格消費電力（a'</t>
    </r>
    <r>
      <rPr>
        <vertAlign val="subscript"/>
        <sz val="10"/>
        <color theme="1"/>
        <rFont val="ＭＳ Ｐゴシック"/>
        <family val="3"/>
        <charset val="128"/>
      </rPr>
      <t>2</t>
    </r>
    <r>
      <rPr>
        <sz val="10"/>
        <color theme="1"/>
        <rFont val="ＭＳ Ｐゴシック"/>
        <family val="3"/>
        <charset val="128"/>
      </rPr>
      <t>）</t>
    </r>
    <rPh sb="0" eb="2">
      <t>テイカク</t>
    </rPh>
    <rPh sb="2" eb="4">
      <t>ショウヒ</t>
    </rPh>
    <rPh sb="4" eb="6">
      <t>デンリョク</t>
    </rPh>
    <phoneticPr fontId="5"/>
  </si>
  <si>
    <r>
      <t>年間使用
時間(d'</t>
    </r>
    <r>
      <rPr>
        <vertAlign val="subscript"/>
        <sz val="10"/>
        <color theme="1"/>
        <rFont val="ＭＳ Ｐゴシック"/>
        <family val="3"/>
        <charset val="128"/>
      </rPr>
      <t>2</t>
    </r>
    <r>
      <rPr>
        <sz val="10"/>
        <color theme="1"/>
        <rFont val="ＭＳ Ｐゴシック"/>
        <family val="3"/>
        <charset val="128"/>
      </rPr>
      <t>)</t>
    </r>
    <rPh sb="0" eb="2">
      <t>ネンカン</t>
    </rPh>
    <rPh sb="2" eb="4">
      <t>シヨウ</t>
    </rPh>
    <rPh sb="5" eb="7">
      <t>ジカン</t>
    </rPh>
    <phoneticPr fontId="5"/>
  </si>
  <si>
    <r>
      <t>定格消費
電力（a</t>
    </r>
    <r>
      <rPr>
        <vertAlign val="subscript"/>
        <sz val="10"/>
        <color theme="1"/>
        <rFont val="ＭＳ Ｐゴシック"/>
        <family val="3"/>
        <charset val="128"/>
      </rPr>
      <t>1</t>
    </r>
    <r>
      <rPr>
        <sz val="10"/>
        <color theme="1"/>
        <rFont val="ＭＳ Ｐゴシック"/>
        <family val="3"/>
        <charset val="128"/>
      </rPr>
      <t>）</t>
    </r>
    <rPh sb="2" eb="4">
      <t>ショウヒ</t>
    </rPh>
    <rPh sb="5" eb="7">
      <t>デンリョク</t>
    </rPh>
    <phoneticPr fontId="5"/>
  </si>
  <si>
    <r>
      <t>定格消費電力（a'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4" eb="6">
      <t>デンリョク</t>
    </rPh>
    <phoneticPr fontId="5"/>
  </si>
  <si>
    <r>
      <t>定格消費
ガス量(b'</t>
    </r>
    <r>
      <rPr>
        <vertAlign val="subscript"/>
        <sz val="10"/>
        <color theme="1"/>
        <rFont val="ＭＳ Ｐゴシック"/>
        <family val="3"/>
        <charset val="128"/>
      </rPr>
      <t>1</t>
    </r>
    <r>
      <rPr>
        <sz val="10"/>
        <color theme="1"/>
        <rFont val="ＭＳ Ｐゴシック"/>
        <family val="3"/>
        <charset val="128"/>
      </rPr>
      <t>)</t>
    </r>
    <rPh sb="0" eb="4">
      <t>テイカクショウヒ</t>
    </rPh>
    <rPh sb="7" eb="8">
      <t>リョウ</t>
    </rPh>
    <phoneticPr fontId="2"/>
  </si>
  <si>
    <r>
      <t>定格消費
ガス量(b'</t>
    </r>
    <r>
      <rPr>
        <vertAlign val="subscript"/>
        <sz val="10"/>
        <color theme="1"/>
        <rFont val="ＭＳ Ｐゴシック"/>
        <family val="3"/>
        <charset val="128"/>
      </rPr>
      <t>2</t>
    </r>
    <r>
      <rPr>
        <sz val="10"/>
        <color theme="1"/>
        <rFont val="ＭＳ Ｐゴシック"/>
        <family val="3"/>
        <charset val="128"/>
      </rPr>
      <t>)</t>
    </r>
    <rPh sb="0" eb="4">
      <t>テイカクショウヒ</t>
    </rPh>
    <rPh sb="7" eb="8">
      <t>リョウ</t>
    </rPh>
    <phoneticPr fontId="2"/>
  </si>
  <si>
    <r>
      <t>原油換算エネルギー使用量</t>
    </r>
    <r>
      <rPr>
        <vertAlign val="superscript"/>
        <sz val="10"/>
        <color theme="1"/>
        <rFont val="ＭＳ Ｐゴシック"/>
        <family val="3"/>
        <charset val="128"/>
      </rPr>
      <t>※</t>
    </r>
    <rPh sb="0" eb="4">
      <t>ゲンユカンザン</t>
    </rPh>
    <rPh sb="9" eb="12">
      <t>シヨウリョウ</t>
    </rPh>
    <phoneticPr fontId="25"/>
  </si>
  <si>
    <t>Ａ重油</t>
    <phoneticPr fontId="2"/>
  </si>
  <si>
    <t>B重油又はC重油</t>
    <phoneticPr fontId="2"/>
  </si>
  <si>
    <t>軽油</t>
    <phoneticPr fontId="2"/>
  </si>
  <si>
    <t>灯油</t>
    <phoneticPr fontId="2"/>
  </si>
  <si>
    <t>ジェット燃料油</t>
    <phoneticPr fontId="2"/>
  </si>
  <si>
    <t>ガソリン</t>
    <phoneticPr fontId="2"/>
  </si>
  <si>
    <t>一般炭</t>
    <phoneticPr fontId="2"/>
  </si>
  <si>
    <t>年間燃料
消費量</t>
    <rPh sb="0" eb="4">
      <t>ネンカンネンリョウ</t>
    </rPh>
    <rPh sb="5" eb="8">
      <t>ショウヒリョウ</t>
    </rPh>
    <phoneticPr fontId="2"/>
  </si>
  <si>
    <t>年間燃料費</t>
    <rPh sb="0" eb="2">
      <t>ネンカン</t>
    </rPh>
    <rPh sb="2" eb="5">
      <t>ネンリョウヒ</t>
    </rPh>
    <phoneticPr fontId="2"/>
  </si>
  <si>
    <t>定格出力</t>
    <rPh sb="0" eb="4">
      <t>テイカクシュツリョク</t>
    </rPh>
    <phoneticPr fontId="2"/>
  </si>
  <si>
    <t>年間
稼働時間</t>
    <rPh sb="0" eb="2">
      <t>ネンカン</t>
    </rPh>
    <rPh sb="3" eb="7">
      <t>カドウジカン</t>
    </rPh>
    <phoneticPr fontId="2"/>
  </si>
  <si>
    <t>平均負荷率</t>
    <phoneticPr fontId="2"/>
  </si>
  <si>
    <t>L/h</t>
    <phoneticPr fontId="2"/>
  </si>
  <si>
    <t>年間電力
消費量</t>
    <rPh sb="0" eb="4">
      <t>ネンカンデンリョク</t>
    </rPh>
    <rPh sb="5" eb="8">
      <t>ショウヒリョウ</t>
    </rPh>
    <phoneticPr fontId="2"/>
  </si>
  <si>
    <t>年間電力費</t>
    <rPh sb="0" eb="2">
      <t>ネンカン</t>
    </rPh>
    <rPh sb="2" eb="4">
      <t>デンリョク</t>
    </rPh>
    <rPh sb="4" eb="5">
      <t>ヒ</t>
    </rPh>
    <phoneticPr fontId="2"/>
  </si>
  <si>
    <t>電気式</t>
  </si>
  <si>
    <t>乾燥炉1</t>
    <rPh sb="0" eb="3">
      <t>カンソウロ</t>
    </rPh>
    <phoneticPr fontId="2"/>
  </si>
  <si>
    <t>年間実出力</t>
    <phoneticPr fontId="2"/>
  </si>
  <si>
    <t>必要熱量</t>
    <phoneticPr fontId="2"/>
  </si>
  <si>
    <t>MJ/年</t>
    <phoneticPr fontId="2"/>
  </si>
  <si>
    <t>年間ガス
消費量</t>
    <phoneticPr fontId="2"/>
  </si>
  <si>
    <t>m³</t>
    <phoneticPr fontId="2"/>
  </si>
  <si>
    <t>年間ガス費</t>
    <phoneticPr fontId="2"/>
  </si>
  <si>
    <t>ガス種類</t>
    <rPh sb="2" eb="4">
      <t>シュルイ</t>
    </rPh>
    <phoneticPr fontId="2"/>
  </si>
  <si>
    <t>都市ガス</t>
    <rPh sb="0" eb="2">
      <t>トシ</t>
    </rPh>
    <phoneticPr fontId="2"/>
  </si>
  <si>
    <t>13A</t>
  </si>
  <si>
    <t>13A</t>
    <phoneticPr fontId="2"/>
  </si>
  <si>
    <t>12A</t>
  </si>
  <si>
    <t>12A</t>
    <phoneticPr fontId="2"/>
  </si>
  <si>
    <t>液化石油ガス</t>
    <rPh sb="0" eb="4">
      <t>エキカセキユ</t>
    </rPh>
    <phoneticPr fontId="2"/>
  </si>
  <si>
    <t>LP</t>
    <phoneticPr fontId="2"/>
  </si>
  <si>
    <t>発熱量</t>
    <rPh sb="0" eb="3">
      <t>ハツネツリョウ</t>
    </rPh>
    <phoneticPr fontId="2"/>
  </si>
  <si>
    <t>ML/㎥</t>
    <phoneticPr fontId="2"/>
  </si>
  <si>
    <t>単位</t>
    <rPh sb="0" eb="2">
      <t>タンイ</t>
    </rPh>
    <phoneticPr fontId="2"/>
  </si>
  <si>
    <t>ガス種類</t>
    <rPh sb="2" eb="4">
      <t>シュルイ</t>
    </rPh>
    <phoneticPr fontId="2"/>
  </si>
  <si>
    <t>ガス式に更新の場合は選択</t>
    <rPh sb="2" eb="3">
      <t>シキ</t>
    </rPh>
    <rPh sb="4" eb="6">
      <t>コウシン</t>
    </rPh>
    <rPh sb="7" eb="9">
      <t>バアイ</t>
    </rPh>
    <rPh sb="10" eb="12">
      <t>センタク</t>
    </rPh>
    <phoneticPr fontId="2"/>
  </si>
  <si>
    <t>※ 1kWh = 3.6MJ</t>
    <phoneticPr fontId="2"/>
  </si>
  <si>
    <t>※ 日本ガス協会の基準値</t>
    <rPh sb="2" eb="4">
      <t>ニホン</t>
    </rPh>
    <rPh sb="6" eb="8">
      <t>キョウカイ</t>
    </rPh>
    <rPh sb="9" eb="12">
      <t>キジュンチ</t>
    </rPh>
    <phoneticPr fontId="2"/>
  </si>
  <si>
    <t>年間使用
時間(b)</t>
    <rPh sb="0" eb="2">
      <t>ネンカン</t>
    </rPh>
    <rPh sb="2" eb="4">
      <t>シヨウ</t>
    </rPh>
    <rPh sb="5" eb="7">
      <t>ジカン</t>
    </rPh>
    <phoneticPr fontId="2"/>
  </si>
  <si>
    <t>入力セル</t>
    <rPh sb="0" eb="2">
      <t>ニュウリョク</t>
    </rPh>
    <phoneticPr fontId="2"/>
  </si>
  <si>
    <t>選択セル</t>
    <rPh sb="0" eb="2">
      <t>センタク</t>
    </rPh>
    <phoneticPr fontId="2"/>
  </si>
  <si>
    <t>数量の増減</t>
    <rPh sb="0" eb="2">
      <t>スウリョウ</t>
    </rPh>
    <rPh sb="3" eb="5">
      <t>ゾウゲン</t>
    </rPh>
    <phoneticPr fontId="2"/>
  </si>
  <si>
    <t>※数量（n）の増加は原則認められません。</t>
    <phoneticPr fontId="2"/>
  </si>
  <si>
    <t>年間点灯時間　（b(b')=t(t')×d(d')×r1(r2)）</t>
    <phoneticPr fontId="2"/>
  </si>
  <si>
    <t>年間消費電力量　（E(E')=a(a')×n(n')×b(b')/1000）</t>
    <phoneticPr fontId="2"/>
  </si>
  <si>
    <t>CO2排出量　（C(C')=E(E')×0.43）</t>
    <phoneticPr fontId="2"/>
  </si>
  <si>
    <t>特記事項</t>
    <rPh sb="0" eb="4">
      <t>トッキジコウ</t>
    </rPh>
    <phoneticPr fontId="2"/>
  </si>
  <si>
    <t>定格能力の増減</t>
    <rPh sb="0" eb="4">
      <t>テイカクノウリョク</t>
    </rPh>
    <rPh sb="5" eb="7">
      <t>ゾウゲン</t>
    </rPh>
    <phoneticPr fontId="2"/>
  </si>
  <si>
    <t>項目</t>
    <rPh sb="0" eb="2">
      <t>コウモク</t>
    </rPh>
    <phoneticPr fontId="2"/>
  </si>
  <si>
    <t>定格能力合計(kW)</t>
    <rPh sb="0" eb="4">
      <t>テイカクノウリョク</t>
    </rPh>
    <rPh sb="4" eb="6">
      <t>ゴウケイ</t>
    </rPh>
    <phoneticPr fontId="2"/>
  </si>
  <si>
    <t>冷房</t>
    <rPh sb="0" eb="2">
      <t>レイボウ</t>
    </rPh>
    <phoneticPr fontId="2"/>
  </si>
  <si>
    <t>暖房</t>
    <rPh sb="0" eb="2">
      <t>ダンボウ</t>
    </rPh>
    <phoneticPr fontId="2"/>
  </si>
  <si>
    <r>
      <t>定格消費
電力（a'</t>
    </r>
    <r>
      <rPr>
        <vertAlign val="subscript"/>
        <sz val="10"/>
        <color theme="1"/>
        <rFont val="ＭＳ Ｐゴシック"/>
        <family val="3"/>
        <charset val="128"/>
      </rPr>
      <t>2</t>
    </r>
    <r>
      <rPr>
        <sz val="10"/>
        <color theme="1"/>
        <rFont val="ＭＳ Ｐゴシック"/>
        <family val="3"/>
        <charset val="128"/>
      </rPr>
      <t>）</t>
    </r>
    <rPh sb="0" eb="2">
      <t>テイカク</t>
    </rPh>
    <rPh sb="2" eb="4">
      <t>ショウヒ</t>
    </rPh>
    <rPh sb="5" eb="7">
      <t>デンリョク</t>
    </rPh>
    <phoneticPr fontId="5"/>
  </si>
  <si>
    <t>年間電力消費量　（E(E)=a1(a'1)×p(p')×n(n')×d1(d'1)×R1+a2(a'2)×p(p')×n(n')×d2(d'2)×R2）</t>
    <phoneticPr fontId="2"/>
  </si>
  <si>
    <r>
      <t>CO2
排出量(C'</t>
    </r>
    <r>
      <rPr>
        <vertAlign val="subscript"/>
        <sz val="10"/>
        <color theme="1"/>
        <rFont val="ＭＳ Ｐゴシック"/>
        <family val="3"/>
        <charset val="128"/>
      </rPr>
      <t>1</t>
    </r>
    <r>
      <rPr>
        <sz val="10"/>
        <color theme="1"/>
        <rFont val="ＭＳ Ｐゴシック"/>
        <family val="3"/>
        <charset val="128"/>
      </rPr>
      <t>)</t>
    </r>
    <rPh sb="4" eb="7">
      <t>ハイシュツリョウ</t>
    </rPh>
    <phoneticPr fontId="5"/>
  </si>
  <si>
    <t>CO2排出量　（C1(C'1)=E(E')×0.43）</t>
    <phoneticPr fontId="2"/>
  </si>
  <si>
    <t>年間電力消費量　（E=p×n×{a1×d1×R1+a2×d2×R2}　　E'=n'×{a'1×d'1×R1+a'2×d'2×R2）</t>
    <phoneticPr fontId="2"/>
  </si>
  <si>
    <t>年間消費ガス量　（F=p×n×{b1×d1×R1+b2×d2×R2}×860÷K　　F'=n'×{b'1×d'1×R1+b'2×d'2×R2}×860÷K）</t>
    <phoneticPr fontId="2"/>
  </si>
  <si>
    <t>CO2
排出量(C)</t>
    <rPh sb="4" eb="7">
      <t>ハイシュツリョウ</t>
    </rPh>
    <phoneticPr fontId="5"/>
  </si>
  <si>
    <r>
      <t>定格消費
ガス量(b</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7" eb="8">
      <t>リョウ</t>
    </rPh>
    <phoneticPr fontId="2"/>
  </si>
  <si>
    <r>
      <t>定格消費
ガス量(b</t>
    </r>
    <r>
      <rPr>
        <vertAlign val="subscript"/>
        <sz val="10"/>
        <color theme="1"/>
        <rFont val="ＭＳ Ｐゴシック"/>
        <family val="3"/>
        <charset val="128"/>
      </rPr>
      <t>2</t>
    </r>
    <r>
      <rPr>
        <sz val="10"/>
        <color theme="1"/>
        <rFont val="ＭＳ Ｐゴシック"/>
        <family val="3"/>
        <charset val="128"/>
      </rPr>
      <t>)</t>
    </r>
    <rPh sb="0" eb="2">
      <t>テイカク</t>
    </rPh>
    <rPh sb="2" eb="4">
      <t>ショウヒリョウ</t>
    </rPh>
    <phoneticPr fontId="2"/>
  </si>
  <si>
    <t>年間消費
電力量(E)</t>
    <rPh sb="2" eb="4">
      <t>ショウヒ</t>
    </rPh>
    <rPh sb="5" eb="7">
      <t>デンリョク</t>
    </rPh>
    <rPh sb="7" eb="8">
      <t>リョウ</t>
    </rPh>
    <phoneticPr fontId="2"/>
  </si>
  <si>
    <t>CO2排出量　（C=E×0.43+F×2.14　　C'=E'×0.43+F'×2.14）</t>
    <phoneticPr fontId="2"/>
  </si>
  <si>
    <t>排出係数</t>
  </si>
  <si>
    <t>体積換算K(㎥/(kW・h))</t>
  </si>
  <si>
    <t>単価</t>
  </si>
  <si>
    <t>項目</t>
    <rPh sb="0" eb="2">
      <t>コウモク</t>
    </rPh>
    <phoneticPr fontId="5"/>
  </si>
  <si>
    <t>係数</t>
    <rPh sb="0" eb="2">
      <t>ケイスウ</t>
    </rPh>
    <phoneticPr fontId="5"/>
  </si>
  <si>
    <t>都市ガス</t>
    <rPh sb="0" eb="2">
      <t>トシ</t>
    </rPh>
    <phoneticPr fontId="5"/>
  </si>
  <si>
    <t>選択ガス</t>
    <rPh sb="0" eb="2">
      <t>センタク</t>
    </rPh>
    <phoneticPr fontId="5"/>
  </si>
  <si>
    <t>(㎥/(kW・h))</t>
  </si>
  <si>
    <t>液化石油ガス</t>
    <rPh sb="0" eb="2">
      <t>エキカ</t>
    </rPh>
    <rPh sb="2" eb="4">
      <t>セキユ</t>
    </rPh>
    <phoneticPr fontId="5"/>
  </si>
  <si>
    <t>kg-CO2/㎥</t>
    <phoneticPr fontId="2"/>
  </si>
  <si>
    <t>能力の増減</t>
    <rPh sb="0" eb="2">
      <t>ノウリョク</t>
    </rPh>
    <rPh sb="3" eb="5">
      <t>ゾウゲン</t>
    </rPh>
    <phoneticPr fontId="25"/>
  </si>
  <si>
    <t>更新前</t>
    <rPh sb="0" eb="2">
      <t>コウシン</t>
    </rPh>
    <rPh sb="2" eb="3">
      <t>マエ</t>
    </rPh>
    <phoneticPr fontId="25"/>
  </si>
  <si>
    <t>t/h</t>
    <phoneticPr fontId="25"/>
  </si>
  <si>
    <t>定格能力合計（kW）</t>
    <rPh sb="0" eb="2">
      <t>テイカク</t>
    </rPh>
    <rPh sb="2" eb="4">
      <t>ノウリョク</t>
    </rPh>
    <rPh sb="4" eb="6">
      <t>ゴウケイ</t>
    </rPh>
    <phoneticPr fontId="25"/>
  </si>
  <si>
    <t>加熱式設備：年間燃料消費量　（F=A×n×b×p　　F=A'×n'×b'×p'）</t>
    <phoneticPr fontId="2"/>
  </si>
  <si>
    <t>CO2排出量　（C=F×燃料毎の排出係数　　C'=F'×燃料ごとの排出係数）</t>
    <rPh sb="28" eb="30">
      <t>ネンリョウ</t>
    </rPh>
    <rPh sb="33" eb="37">
      <t>ハイシュツケイスウ</t>
    </rPh>
    <phoneticPr fontId="2"/>
  </si>
  <si>
    <t>年間消費電力量　（E=b×n×r×t　　E'=b'×n'×r'×t'）</t>
    <phoneticPr fontId="2"/>
  </si>
  <si>
    <t>CO2排出量　（C=E×0.43　　C'=E'×0.43）</t>
    <phoneticPr fontId="2"/>
  </si>
  <si>
    <t>※容量が更新前後で異なる場合は、その理由を特記事項欄に記載してください。</t>
    <phoneticPr fontId="2"/>
  </si>
  <si>
    <t>無負荷損
（a'）</t>
    <rPh sb="0" eb="4">
      <t>ムフカゾン</t>
    </rPh>
    <phoneticPr fontId="25"/>
  </si>
  <si>
    <t>負荷損
(b')</t>
    <rPh sb="0" eb="3">
      <t>フカゾン</t>
    </rPh>
    <phoneticPr fontId="25"/>
  </si>
  <si>
    <t>負荷率
(r')</t>
    <rPh sb="0" eb="3">
      <t>フカリツ</t>
    </rPh>
    <phoneticPr fontId="25"/>
  </si>
  <si>
    <t>年間使用時間(t')</t>
    <rPh sb="0" eb="2">
      <t>ネンカン</t>
    </rPh>
    <rPh sb="4" eb="6">
      <t>ジカン</t>
    </rPh>
    <phoneticPr fontId="25"/>
  </si>
  <si>
    <t>年間消費電力量　（E=(a+b×r2)×t/1000　　E'=(a'+b'×r2)×t'/1000）</t>
    <phoneticPr fontId="2"/>
  </si>
  <si>
    <t>日使用時間
(t)</t>
    <rPh sb="0" eb="1">
      <t>ニチ</t>
    </rPh>
    <rPh sb="3" eb="5">
      <t>ジカン</t>
    </rPh>
    <phoneticPr fontId="25"/>
  </si>
  <si>
    <t>冷凍</t>
    <rPh sb="0" eb="2">
      <t>レイトウ</t>
    </rPh>
    <phoneticPr fontId="2"/>
  </si>
  <si>
    <t>冷蔵</t>
    <rPh sb="0" eb="2">
      <t>レイゾウ</t>
    </rPh>
    <phoneticPr fontId="2"/>
  </si>
  <si>
    <t>容積</t>
    <rPh sb="0" eb="2">
      <t>ヨウセキ</t>
    </rPh>
    <phoneticPr fontId="2"/>
  </si>
  <si>
    <t>CO2排出量(C=E×0.43　　C'=E'×0.43)</t>
    <phoneticPr fontId="2"/>
  </si>
  <si>
    <t>各月の二酸化炭素排出量</t>
    <rPh sb="0" eb="2">
      <t>カクツキ</t>
    </rPh>
    <rPh sb="3" eb="6">
      <t>ニサンカ</t>
    </rPh>
    <rPh sb="6" eb="8">
      <t>タンソ</t>
    </rPh>
    <rPh sb="8" eb="10">
      <t>ハイシュツ</t>
    </rPh>
    <rPh sb="10" eb="11">
      <t>リョウ</t>
    </rPh>
    <phoneticPr fontId="2"/>
  </si>
  <si>
    <t>排出量/月</t>
    <rPh sb="0" eb="3">
      <t>ハイシュツリョウ</t>
    </rPh>
    <rPh sb="4" eb="5">
      <t>ツキ</t>
    </rPh>
    <phoneticPr fontId="2"/>
  </si>
  <si>
    <t>前年比(%)</t>
    <rPh sb="0" eb="3">
      <t>ゼンネンヒ</t>
    </rPh>
    <phoneticPr fontId="2"/>
  </si>
  <si>
    <t>自動算出セル</t>
    <rPh sb="0" eb="4">
      <t>ジドウサンシュツ</t>
    </rPh>
    <phoneticPr fontId="2"/>
  </si>
  <si>
    <t>前年比(%)</t>
    <phoneticPr fontId="2"/>
  </si>
  <si>
    <t>区分</t>
    <rPh sb="0" eb="2">
      <t>クブン</t>
    </rPh>
    <phoneticPr fontId="2"/>
  </si>
  <si>
    <t>小型車</t>
    <rPh sb="0" eb="3">
      <t>コガタシャ</t>
    </rPh>
    <phoneticPr fontId="2"/>
  </si>
  <si>
    <t>中型車</t>
    <rPh sb="0" eb="3">
      <t>チュウガタシャ</t>
    </rPh>
    <phoneticPr fontId="2"/>
  </si>
  <si>
    <t>大型車</t>
    <rPh sb="0" eb="3">
      <t>オオガタシャ</t>
    </rPh>
    <phoneticPr fontId="2"/>
  </si>
  <si>
    <t>電力消費係数</t>
    <rPh sb="0" eb="2">
      <t>デンリョク</t>
    </rPh>
    <rPh sb="2" eb="4">
      <t>ショウヒ</t>
    </rPh>
    <rPh sb="4" eb="6">
      <t>ケイスウ</t>
    </rPh>
    <phoneticPr fontId="2"/>
  </si>
  <si>
    <t>kWh/km</t>
  </si>
  <si>
    <t>寸法・重量</t>
    <rPh sb="0" eb="2">
      <t>スンポウ</t>
    </rPh>
    <rPh sb="3" eb="5">
      <t>ジュウリョウ</t>
    </rPh>
    <phoneticPr fontId="2"/>
  </si>
  <si>
    <t>全長 3.4m以下、全幅 1.48m以下 
重量 1,000kg以下</t>
    <rPh sb="0" eb="2">
      <t>ゼンチョウ</t>
    </rPh>
    <rPh sb="7" eb="9">
      <t>イカ</t>
    </rPh>
    <rPh sb="10" eb="12">
      <t>ゼンプク</t>
    </rPh>
    <rPh sb="18" eb="20">
      <t>イカ</t>
    </rPh>
    <rPh sb="22" eb="24">
      <t>ジュウリョウ</t>
    </rPh>
    <rPh sb="32" eb="34">
      <t>イカ</t>
    </rPh>
    <phoneticPr fontId="2"/>
  </si>
  <si>
    <t>車種例</t>
    <rPh sb="0" eb="3">
      <t>シャシュレイ</t>
    </rPh>
    <phoneticPr fontId="2"/>
  </si>
  <si>
    <t>電力消費
係数</t>
    <rPh sb="0" eb="2">
      <t>デンリョク</t>
    </rPh>
    <rPh sb="2" eb="4">
      <t>ショウヒ</t>
    </rPh>
    <rPh sb="5" eb="7">
      <t>ケイスウ</t>
    </rPh>
    <phoneticPr fontId="2"/>
  </si>
  <si>
    <t>全長 4.7m以下、全幅 1.7m以下
重量 1,001kg～1,800kg以下</t>
    <rPh sb="20" eb="22">
      <t>ジュウリョウ</t>
    </rPh>
    <rPh sb="38" eb="40">
      <t>イカ</t>
    </rPh>
    <phoneticPr fontId="2"/>
  </si>
  <si>
    <t>上記寸法を超えるもの</t>
    <rPh sb="0" eb="4">
      <t>ジョウキスンポウ</t>
    </rPh>
    <rPh sb="5" eb="6">
      <t>コ</t>
    </rPh>
    <phoneticPr fontId="2"/>
  </si>
  <si>
    <t>年間
使用距離</t>
    <rPh sb="0" eb="2">
      <t>ネンカン</t>
    </rPh>
    <rPh sb="3" eb="5">
      <t>シヨウ</t>
    </rPh>
    <rPh sb="5" eb="7">
      <t>キョリ</t>
    </rPh>
    <phoneticPr fontId="2"/>
  </si>
  <si>
    <t>km/年</t>
    <rPh sb="3" eb="4">
      <t>ネン</t>
    </rPh>
    <phoneticPr fontId="2"/>
  </si>
  <si>
    <t>北陸電力（かんたん固定単価プラン）</t>
    <rPh sb="0" eb="4">
      <t>ホクリクデンリョク</t>
    </rPh>
    <rPh sb="9" eb="11">
      <t>コテイ</t>
    </rPh>
    <rPh sb="11" eb="13">
      <t>タンカ</t>
    </rPh>
    <phoneticPr fontId="2"/>
  </si>
  <si>
    <t>価格</t>
    <rPh sb="0" eb="2">
      <t>カカク</t>
    </rPh>
    <phoneticPr fontId="2"/>
  </si>
  <si>
    <t>エネクスライフサービス</t>
    <phoneticPr fontId="2"/>
  </si>
  <si>
    <t>ENEOS太陽光買取サービス</t>
    <rPh sb="5" eb="8">
      <t>タイヨウコウ</t>
    </rPh>
    <rPh sb="8" eb="10">
      <t>カイトリ</t>
    </rPh>
    <phoneticPr fontId="2"/>
  </si>
  <si>
    <t>旭化成ホームズ</t>
    <phoneticPr fontId="2"/>
  </si>
  <si>
    <t>丸紅新電力（ECOとくプラン）</t>
    <rPh sb="0" eb="2">
      <t>マルベニ</t>
    </rPh>
    <rPh sb="2" eb="5">
      <t>シンデンリョク</t>
    </rPh>
    <phoneticPr fontId="2"/>
  </si>
  <si>
    <t>出光興産（スタンダード買取プラン）</t>
    <rPh sb="0" eb="2">
      <t>イデミツ</t>
    </rPh>
    <rPh sb="2" eb="4">
      <t>コウサン</t>
    </rPh>
    <phoneticPr fontId="2"/>
  </si>
  <si>
    <t>ミツウロコグリーンエネルギー（基本買取プラン）</t>
    <phoneticPr fontId="2"/>
  </si>
  <si>
    <t>全農エネルギー（卒FIT買取プラン）</t>
    <rPh sb="0" eb="2">
      <t>ゼンノウ</t>
    </rPh>
    <phoneticPr fontId="2"/>
  </si>
  <si>
    <t>エバーグリーン・リテイリング（スタンダードプラン）</t>
    <phoneticPr fontId="2"/>
  </si>
  <si>
    <t>auエネルギー&amp;ライフ（太陽光電力買取サービス）</t>
    <phoneticPr fontId="2"/>
  </si>
  <si>
    <t>積水ハウス（積水ハウスオーナーでんき）</t>
    <rPh sb="0" eb="2">
      <t>セキスイ</t>
    </rPh>
    <phoneticPr fontId="2"/>
  </si>
  <si>
    <t>利用条件</t>
    <rPh sb="0" eb="4">
      <t>リヨウジョウケン</t>
    </rPh>
    <phoneticPr fontId="2"/>
  </si>
  <si>
    <t>なし</t>
    <phoneticPr fontId="2"/>
  </si>
  <si>
    <t>積水化学工業</t>
    <rPh sb="0" eb="2">
      <t>セキスイ</t>
    </rPh>
    <rPh sb="2" eb="4">
      <t>カガク</t>
    </rPh>
    <rPh sb="4" eb="6">
      <t>コウギョウ</t>
    </rPh>
    <phoneticPr fontId="2"/>
  </si>
  <si>
    <t>セキスイハイムにお住まいの方、セキスイファミエス顧客等</t>
    <phoneticPr fontId="2"/>
  </si>
  <si>
    <t>大和ハウス工業（PREMIUMプラン）</t>
    <phoneticPr fontId="2"/>
  </si>
  <si>
    <t>ダイワハウスオーナーかつダイワハウスでんきをご利用の方</t>
    <phoneticPr fontId="2"/>
  </si>
  <si>
    <t>住友林業（スミリンでんき）</t>
    <rPh sb="0" eb="4">
      <t>スミトモリンギョウ</t>
    </rPh>
    <phoneticPr fontId="2"/>
  </si>
  <si>
    <t>電力会社（提供プラン名）</t>
    <rPh sb="0" eb="4">
      <t>デンリョクガイシャ</t>
    </rPh>
    <rPh sb="5" eb="7">
      <t>テイキョウ</t>
    </rPh>
    <rPh sb="10" eb="11">
      <t>メイ</t>
    </rPh>
    <phoneticPr fontId="2"/>
  </si>
  <si>
    <t>住友林業が建築する戸建住宅の入居者の方もしくは、住友林業ホームテックが太陽光を設置した戸建住宅の入居者の方</t>
    <phoneticPr fontId="2"/>
  </si>
  <si>
    <t>グローバルエンジニアリング（純粋売電プラン）</t>
    <phoneticPr fontId="2"/>
  </si>
  <si>
    <t>トヨタホームオーナーの方</t>
    <phoneticPr fontId="2"/>
  </si>
  <si>
    <t>一条工務店（電力買取サービス）</t>
    <rPh sb="0" eb="5">
      <t>イチジョウコウムテン</t>
    </rPh>
    <rPh sb="6" eb="10">
      <t>デンリョクカイトリ</t>
    </rPh>
    <phoneticPr fontId="2"/>
  </si>
  <si>
    <t>一条工務店オーナーの方</t>
    <phoneticPr fontId="2"/>
  </si>
  <si>
    <t>ミサワホーム（PLTでんき電力買取サービス）</t>
    <phoneticPr fontId="2"/>
  </si>
  <si>
    <t>ミサワホームのオーナーおよびリフォーム工事契約者</t>
    <phoneticPr fontId="2"/>
  </si>
  <si>
    <t>豊田通商</t>
    <rPh sb="0" eb="4">
      <t>トヨタツウショウ</t>
    </rPh>
    <phoneticPr fontId="2"/>
  </si>
  <si>
    <t>非FIT時　買取価格単価</t>
    <rPh sb="0" eb="1">
      <t>ヒ</t>
    </rPh>
    <rPh sb="4" eb="5">
      <t>ジ</t>
    </rPh>
    <rPh sb="6" eb="10">
      <t>カイトリカカク</t>
    </rPh>
    <rPh sb="10" eb="12">
      <t>タンカ</t>
    </rPh>
    <phoneticPr fontId="2"/>
  </si>
  <si>
    <t>積水ハウスのオーナーの方</t>
    <rPh sb="11" eb="12">
      <t>カタ</t>
    </rPh>
    <phoneticPr fontId="2"/>
  </si>
  <si>
    <t>非FIT時　買取価格</t>
    <rPh sb="0" eb="1">
      <t>ヒ</t>
    </rPh>
    <rPh sb="4" eb="5">
      <t>ジ</t>
    </rPh>
    <rPh sb="6" eb="10">
      <t>カイトリカカク</t>
    </rPh>
    <phoneticPr fontId="2"/>
  </si>
  <si>
    <t>年度</t>
    <rPh sb="0" eb="2">
      <t>ネンド</t>
    </rPh>
    <phoneticPr fontId="2"/>
  </si>
  <si>
    <t>累計排出量</t>
    <rPh sb="0" eb="2">
      <t>ルイケイ</t>
    </rPh>
    <rPh sb="2" eb="5">
      <t>ハイシュツリョウ</t>
    </rPh>
    <phoneticPr fontId="2"/>
  </si>
  <si>
    <t>前年比</t>
    <rPh sb="0" eb="3">
      <t>ゼンネンヒ</t>
    </rPh>
    <phoneticPr fontId="2"/>
  </si>
  <si>
    <t>購入電気</t>
    <rPh sb="0" eb="2">
      <t>コウニュウ</t>
    </rPh>
    <rPh sb="2" eb="4">
      <t>デンキ</t>
    </rPh>
    <phoneticPr fontId="2"/>
  </si>
  <si>
    <t>燃料</t>
    <rPh sb="0" eb="2">
      <t>ネンリョウ</t>
    </rPh>
    <phoneticPr fontId="2"/>
  </si>
  <si>
    <t>排出量</t>
    <rPh sb="0" eb="3">
      <t>ハイシュツリョウ</t>
    </rPh>
    <phoneticPr fontId="2"/>
  </si>
  <si>
    <r>
      <rPr>
        <sz val="10"/>
        <color theme="1"/>
        <rFont val="游ゴシック"/>
        <family val="2"/>
        <charset val="128"/>
      </rPr>
      <t>年度</t>
    </r>
    <rPh sb="0" eb="2">
      <t>ネンド</t>
    </rPh>
    <phoneticPr fontId="2"/>
  </si>
  <si>
    <t>増減量</t>
    <rPh sb="0" eb="3">
      <t>ゾウゲンリョウ</t>
    </rPh>
    <phoneticPr fontId="2"/>
  </si>
  <si>
    <t>Scope別</t>
    <rPh sb="5" eb="6">
      <t>ベツ</t>
    </rPh>
    <phoneticPr fontId="2"/>
  </si>
  <si>
    <t>Scope1</t>
    <phoneticPr fontId="2"/>
  </si>
  <si>
    <t>Scope2</t>
    <phoneticPr fontId="2"/>
  </si>
  <si>
    <t>購入電力</t>
    <rPh sb="0" eb="4">
      <t>コウニュウデンリョク</t>
    </rPh>
    <phoneticPr fontId="2"/>
  </si>
  <si>
    <t>Scope1
直接排出</t>
    <rPh sb="7" eb="11">
      <t>チョクセツハイシュツ</t>
    </rPh>
    <phoneticPr fontId="2"/>
  </si>
  <si>
    <t>Scope2
間接排出</t>
    <rPh sb="7" eb="9">
      <t>カンセツ</t>
    </rPh>
    <rPh sb="9" eb="11">
      <t>ハイシュツ</t>
    </rPh>
    <phoneticPr fontId="2"/>
  </si>
  <si>
    <t>自動車燃料</t>
    <rPh sb="0" eb="3">
      <t>ジドウシャ</t>
    </rPh>
    <rPh sb="3" eb="5">
      <t>ネンリョウ</t>
    </rPh>
    <phoneticPr fontId="2"/>
  </si>
  <si>
    <t>年度</t>
    <rPh sb="0" eb="2">
      <t>ネンド</t>
    </rPh>
    <phoneticPr fontId="2"/>
  </si>
  <si>
    <t>PCS定格容量
(AC側)</t>
    <rPh sb="3" eb="7">
      <t>テイカクヨウリョウ</t>
    </rPh>
    <rPh sb="11" eb="12">
      <t>ガワ</t>
    </rPh>
    <phoneticPr fontId="2"/>
  </si>
  <si>
    <t>%</t>
    <phoneticPr fontId="2"/>
  </si>
  <si>
    <t>非FIT時　買取価格単価（石川県内、2025年度が初期値）</t>
    <rPh sb="0" eb="1">
      <t>ヒ</t>
    </rPh>
    <rPh sb="4" eb="5">
      <t>ジ</t>
    </rPh>
    <rPh sb="6" eb="10">
      <t>カイトリカカク</t>
    </rPh>
    <rPh sb="10" eb="12">
      <t>タンカ</t>
    </rPh>
    <rPh sb="13" eb="16">
      <t>イシカワケン</t>
    </rPh>
    <rPh sb="16" eb="17">
      <t>ナイ</t>
    </rPh>
    <rPh sb="22" eb="24">
      <t>ネンド</t>
    </rPh>
    <rPh sb="25" eb="28">
      <t>ショキチ</t>
    </rPh>
    <phoneticPr fontId="2"/>
  </si>
  <si>
    <t>CO2排出係数
初期値
（令和5年9月）</t>
    <rPh sb="3" eb="7">
      <t>ハイシュツケイスウ</t>
    </rPh>
    <rPh sb="8" eb="11">
      <t>ショキチ</t>
    </rPh>
    <phoneticPr fontId="2"/>
  </si>
  <si>
    <t>CO2
排出係数
（上書き可能）</t>
    <rPh sb="4" eb="6">
      <t>ハイシュツ</t>
    </rPh>
    <rPh sb="6" eb="8">
      <t>ケイスウ</t>
    </rPh>
    <rPh sb="10" eb="12">
      <t>ウワガ</t>
    </rPh>
    <rPh sb="13" eb="15">
      <t>カノウ</t>
    </rPh>
    <phoneticPr fontId="2"/>
  </si>
  <si>
    <t>電力単価</t>
    <rPh sb="0" eb="2">
      <t>デンリョク</t>
    </rPh>
    <rPh sb="2" eb="4">
      <t>タンカ</t>
    </rPh>
    <phoneticPr fontId="2"/>
  </si>
  <si>
    <t>年間
稼働時間</t>
    <rPh sb="0" eb="2">
      <t>ネンカン</t>
    </rPh>
    <rPh sb="3" eb="5">
      <t>カドウ</t>
    </rPh>
    <rPh sb="5" eb="7">
      <t>ジカン</t>
    </rPh>
    <phoneticPr fontId="2"/>
  </si>
  <si>
    <t>CO2削減量</t>
    <rPh sb="3" eb="6">
      <t>サクゲンリョウ</t>
    </rPh>
    <phoneticPr fontId="25"/>
  </si>
  <si>
    <t>制御方式</t>
    <rPh sb="0" eb="4">
      <t>セイギョホウシキ</t>
    </rPh>
    <phoneticPr fontId="2"/>
  </si>
  <si>
    <t>定速機（吸込絞り・アンロード制御）</t>
  </si>
  <si>
    <t>定格出力</t>
    <rPh sb="0" eb="2">
      <t>テイカク</t>
    </rPh>
    <rPh sb="2" eb="4">
      <t>シュツリョク</t>
    </rPh>
    <phoneticPr fontId="2"/>
  </si>
  <si>
    <t>燃料単価
電気料単価</t>
    <rPh sb="0" eb="4">
      <t>ネンリョウタンカ</t>
    </rPh>
    <rPh sb="5" eb="7">
      <t>デンキ</t>
    </rPh>
    <rPh sb="7" eb="8">
      <t>リョウ</t>
    </rPh>
    <rPh sb="8" eb="10">
      <t>タンカ</t>
    </rPh>
    <phoneticPr fontId="2"/>
  </si>
  <si>
    <t>円/L、円/kWh</t>
    <rPh sb="0" eb="1">
      <t>エン</t>
    </rPh>
    <rPh sb="4" eb="5">
      <t>エン</t>
    </rPh>
    <phoneticPr fontId="2"/>
  </si>
  <si>
    <t>自家消費率</t>
    <rPh sb="0" eb="5">
      <t>ジカショウヒリツ</t>
    </rPh>
    <phoneticPr fontId="2"/>
  </si>
  <si>
    <t>その他（自由入力）</t>
    <rPh sb="2" eb="3">
      <t>タ</t>
    </rPh>
    <rPh sb="4" eb="8">
      <t>ジユウニュウリョク</t>
    </rPh>
    <phoneticPr fontId="2"/>
  </si>
  <si>
    <t>過積載率
（参考値）</t>
    <rPh sb="0" eb="4">
      <t>カセキサイリツ</t>
    </rPh>
    <rPh sb="6" eb="8">
      <t>サンコウ</t>
    </rPh>
    <rPh sb="8" eb="9">
      <t>チ</t>
    </rPh>
    <phoneticPr fontId="2"/>
  </si>
  <si>
    <r>
      <t>kg-CO</t>
    </r>
    <r>
      <rPr>
        <b/>
        <vertAlign val="subscript"/>
        <sz val="16"/>
        <color theme="3"/>
        <rFont val="Meiryo UI"/>
        <family val="3"/>
        <charset val="128"/>
      </rPr>
      <t>2</t>
    </r>
    <phoneticPr fontId="2"/>
  </si>
  <si>
    <t>いしかわ事業者版／工場・施設版環境ISO　</t>
    <rPh sb="4" eb="8">
      <t>ジギョウシャバン</t>
    </rPh>
    <rPh sb="9" eb="11">
      <t>コウジョウ</t>
    </rPh>
    <rPh sb="12" eb="15">
      <t>シセツバン</t>
    </rPh>
    <rPh sb="15" eb="17">
      <t>カンキョウ</t>
    </rPh>
    <phoneticPr fontId="2"/>
  </si>
  <si>
    <t>種類</t>
    <rPh sb="0" eb="2">
      <t>シュルイ</t>
    </rPh>
    <phoneticPr fontId="2"/>
  </si>
  <si>
    <t>コンプレッサー</t>
  </si>
  <si>
    <t>乾燥機</t>
  </si>
  <si>
    <t>冷凍式</t>
  </si>
  <si>
    <t>【参考】平均負荷率の目安</t>
    <rPh sb="1" eb="3">
      <t>サンコウ</t>
    </rPh>
    <rPh sb="4" eb="9">
      <t>ヘイキンフカリツ</t>
    </rPh>
    <rPh sb="10" eb="12">
      <t>メヤス</t>
    </rPh>
    <phoneticPr fontId="2"/>
  </si>
  <si>
    <t>機器種類</t>
    <rPh sb="0" eb="4">
      <t>キキシュルイ</t>
    </rPh>
    <phoneticPr fontId="2"/>
  </si>
  <si>
    <t>コンプレッサー</t>
    <phoneticPr fontId="2"/>
  </si>
  <si>
    <t>制御方式</t>
    <rPh sb="0" eb="4">
      <t>セイギョホウシキ</t>
    </rPh>
    <phoneticPr fontId="2"/>
  </si>
  <si>
    <t>平均負荷率</t>
    <rPh sb="0" eb="5">
      <t>ヘイキンフカリツ</t>
    </rPh>
    <phoneticPr fontId="2"/>
  </si>
  <si>
    <t>コンプレッサーA</t>
    <phoneticPr fontId="2"/>
  </si>
  <si>
    <t>定速機（吸込絞り・アンロード制御）</t>
    <phoneticPr fontId="2"/>
  </si>
  <si>
    <t>インバータ機</t>
    <phoneticPr fontId="2"/>
  </si>
  <si>
    <t>乾燥機</t>
    <rPh sb="0" eb="3">
      <t>カンソウキ</t>
    </rPh>
    <phoneticPr fontId="2"/>
  </si>
  <si>
    <t>冷凍式</t>
    <phoneticPr fontId="2"/>
  </si>
  <si>
    <t>年間電力
消費量</t>
    <rPh sb="0" eb="2">
      <t>ネンカン</t>
    </rPh>
    <rPh sb="2" eb="4">
      <t>デンリョク</t>
    </rPh>
    <rPh sb="5" eb="8">
      <t>ショウヒリョウ</t>
    </rPh>
    <phoneticPr fontId="2"/>
  </si>
  <si>
    <t>日稼働時間</t>
    <rPh sb="0" eb="1">
      <t>ヒ</t>
    </rPh>
    <rPh sb="1" eb="3">
      <t>カドウ</t>
    </rPh>
    <rPh sb="3" eb="5">
      <t>ジカン</t>
    </rPh>
    <phoneticPr fontId="2"/>
  </si>
  <si>
    <t>h</t>
  </si>
  <si>
    <t>h</t>
    <phoneticPr fontId="2"/>
  </si>
  <si>
    <t>年間稼働日数</t>
    <rPh sb="0" eb="6">
      <t>ネンカンカドウニッスウ</t>
    </rPh>
    <phoneticPr fontId="2"/>
  </si>
  <si>
    <t>日/年</t>
    <rPh sb="0" eb="1">
      <t>ニチ</t>
    </rPh>
    <rPh sb="2" eb="3">
      <t>ネン</t>
    </rPh>
    <phoneticPr fontId="2"/>
  </si>
  <si>
    <t>年間
稼働日数</t>
    <rPh sb="0" eb="2">
      <t>ネンカン</t>
    </rPh>
    <rPh sb="3" eb="5">
      <t>カドウ</t>
    </rPh>
    <rPh sb="5" eb="7">
      <t>ニッスウ</t>
    </rPh>
    <phoneticPr fontId="2"/>
  </si>
  <si>
    <t>時間/年</t>
    <phoneticPr fontId="2"/>
  </si>
  <si>
    <t>R7</t>
    <phoneticPr fontId="2"/>
  </si>
  <si>
    <t>R6</t>
    <phoneticPr fontId="2"/>
  </si>
  <si>
    <t>購入電気</t>
    <rPh sb="0" eb="4">
      <t>コウニュウデンキ</t>
    </rPh>
    <phoneticPr fontId="2"/>
  </si>
  <si>
    <t>② エネルギー別の分析</t>
    <rPh sb="7" eb="8">
      <t>ベツ</t>
    </rPh>
    <rPh sb="9" eb="11">
      <t>ブンセキ</t>
    </rPh>
    <phoneticPr fontId="2"/>
  </si>
  <si>
    <t>Scope1（燃料+自動車燃料）</t>
    <rPh sb="7" eb="9">
      <t>ネンリョウ</t>
    </rPh>
    <rPh sb="10" eb="15">
      <t>ジドウシャネンリョウ</t>
    </rPh>
    <phoneticPr fontId="2"/>
  </si>
  <si>
    <t>Scope2（購入電力）</t>
    <rPh sb="7" eb="11">
      <t>コウニュウデンリョク</t>
    </rPh>
    <phoneticPr fontId="2"/>
  </si>
  <si>
    <t>Scope1（燃料）</t>
    <rPh sb="7" eb="9">
      <t>ネンリョウ</t>
    </rPh>
    <phoneticPr fontId="2"/>
  </si>
  <si>
    <t>Scope1（自動車燃料）</t>
    <rPh sb="7" eb="12">
      <t>ジドウシャネンリョウ</t>
    </rPh>
    <phoneticPr fontId="2"/>
  </si>
  <si>
    <t>燃料</t>
    <rPh sb="0" eb="2">
      <t>ネンリョウ</t>
    </rPh>
    <phoneticPr fontId="2"/>
  </si>
  <si>
    <t>自動車燃料</t>
    <rPh sb="0" eb="5">
      <t>ジドウシャネンリョウ</t>
    </rPh>
    <phoneticPr fontId="2"/>
  </si>
  <si>
    <t>購入電力</t>
    <phoneticPr fontId="2"/>
  </si>
  <si>
    <t>日産ノート e-Power、リーフ、マツダMX-30　トヨタbZ3　等</t>
    <phoneticPr fontId="2"/>
  </si>
  <si>
    <t>日産アリア、レクサスRZ、UX300e、スバルソルテラ、テスラモデルS/X　等</t>
    <rPh sb="0" eb="2">
      <t>ニッサン</t>
    </rPh>
    <rPh sb="38" eb="39">
      <t>トウ</t>
    </rPh>
    <phoneticPr fontId="2"/>
  </si>
  <si>
    <t>日産サクラ、三菱eKクロスEV、ホンダN-ONE e　、スズキエブリィ、ダイハツハイゼットカーゴEV　等</t>
    <rPh sb="51" eb="52">
      <t>トウ</t>
    </rPh>
    <phoneticPr fontId="2"/>
  </si>
  <si>
    <t>給湯器（ヒートポンプ）</t>
  </si>
  <si>
    <t>太陽光発電設備の導入</t>
    <rPh sb="0" eb="3">
      <t>タイヨウコウ</t>
    </rPh>
    <rPh sb="3" eb="5">
      <t>ハツデン</t>
    </rPh>
    <rPh sb="5" eb="7">
      <t>セツビ</t>
    </rPh>
    <rPh sb="8" eb="10">
      <t>ドウニュウ</t>
    </rPh>
    <phoneticPr fontId="25"/>
  </si>
  <si>
    <t>メーカー
（パネル）</t>
    <phoneticPr fontId="2"/>
  </si>
  <si>
    <t>※1　PCS＝パワーコンディショナー</t>
    <phoneticPr fontId="2"/>
  </si>
  <si>
    <t>メーカー
（PCS ※1）</t>
    <phoneticPr fontId="25"/>
  </si>
  <si>
    <t>※2　80％が初期値（上書き可）</t>
    <rPh sb="7" eb="10">
      <t>ショキチ</t>
    </rPh>
    <rPh sb="11" eb="13">
      <t>ウワガ</t>
    </rPh>
    <rPh sb="14" eb="15">
      <t>カ</t>
    </rPh>
    <phoneticPr fontId="2"/>
  </si>
  <si>
    <t>金沢市の平均全天日射量 ※3</t>
    <rPh sb="0" eb="3">
      <t>カナザワシ</t>
    </rPh>
    <rPh sb="4" eb="11">
      <t>ヘイキンゼンテンニッシャリョウ</t>
    </rPh>
    <phoneticPr fontId="2"/>
  </si>
  <si>
    <t>パネル
合計容量
(DC側)</t>
    <phoneticPr fontId="2"/>
  </si>
  <si>
    <t>平均負荷率</t>
    <phoneticPr fontId="2"/>
  </si>
  <si>
    <t>%</t>
    <phoneticPr fontId="2"/>
  </si>
  <si>
    <t>蓄電容量
（参考値）</t>
    <rPh sb="6" eb="8">
      <t>サンコウ</t>
    </rPh>
    <rPh sb="8" eb="9">
      <t>チ</t>
    </rPh>
    <phoneticPr fontId="2"/>
  </si>
  <si>
    <t>放電量</t>
    <rPh sb="0" eb="3">
      <t>ホウデンリョウ</t>
    </rPh>
    <phoneticPr fontId="2"/>
  </si>
  <si>
    <t>kWh/日</t>
    <phoneticPr fontId="2"/>
  </si>
  <si>
    <t>放電日数</t>
    <rPh sb="0" eb="4">
      <t>ホウデンニッスウ</t>
    </rPh>
    <phoneticPr fontId="2"/>
  </si>
  <si>
    <t>日/年</t>
    <phoneticPr fontId="2"/>
  </si>
  <si>
    <t>年間削減電力量</t>
    <rPh sb="0" eb="2">
      <t>ネンカン</t>
    </rPh>
    <rPh sb="2" eb="4">
      <t>サクゲン</t>
    </rPh>
    <rPh sb="4" eb="6">
      <t>デンリョク</t>
    </rPh>
    <rPh sb="6" eb="7">
      <t>リョウ</t>
    </rPh>
    <phoneticPr fontId="25"/>
  </si>
  <si>
    <t>注4）燃費値はカタログや実績値、国土交通省の自動車燃費一覧　（https://www.mlit.go.jp/jidosha/jidosha_mn10_000002.html）　等から引用してください</t>
    <rPh sb="0" eb="1">
      <t>チュウ</t>
    </rPh>
    <rPh sb="3" eb="5">
      <t>ネンピ</t>
    </rPh>
    <rPh sb="5" eb="6">
      <t>チ</t>
    </rPh>
    <rPh sb="12" eb="15">
      <t>ジッセキチ</t>
    </rPh>
    <rPh sb="16" eb="21">
      <t>コクドコウツウショウ</t>
    </rPh>
    <rPh sb="22" eb="29">
      <t>ジドウシャネンピイチラン</t>
    </rPh>
    <rPh sb="88" eb="89">
      <t>トウ</t>
    </rPh>
    <rPh sb="91" eb="93">
      <t>インヨウ</t>
    </rPh>
    <phoneticPr fontId="2"/>
  </si>
  <si>
    <t>燃料による二酸化炭素排出量</t>
    <rPh sb="0" eb="2">
      <t>ネンリョウ</t>
    </rPh>
    <rPh sb="5" eb="13">
      <t>ニサンカタンソハイシュツリョウ</t>
    </rPh>
    <phoneticPr fontId="2"/>
  </si>
  <si>
    <t>自動車燃料による二酸化炭素排出量</t>
    <rPh sb="0" eb="3">
      <t>ジドウシャ</t>
    </rPh>
    <rPh sb="3" eb="5">
      <t>ネンリョウ</t>
    </rPh>
    <rPh sb="8" eb="16">
      <t>ニサンカタンソハイシュツリョウ</t>
    </rPh>
    <phoneticPr fontId="2"/>
  </si>
  <si>
    <t>負荷率　（初期値）</t>
    <rPh sb="0" eb="3">
      <t>フカリツ</t>
    </rPh>
    <rPh sb="5" eb="8">
      <t>ショキチ</t>
    </rPh>
    <phoneticPr fontId="2"/>
  </si>
  <si>
    <t>蓄電量に占める再エネの割合</t>
    <phoneticPr fontId="2"/>
  </si>
  <si>
    <t>電気式</t>
    <rPh sb="0" eb="2">
      <t>デンキ</t>
    </rPh>
    <rPh sb="2" eb="3">
      <t>シキ</t>
    </rPh>
    <phoneticPr fontId="2"/>
  </si>
  <si>
    <t>ガス式</t>
    <rPh sb="2" eb="3">
      <t>シキ</t>
    </rPh>
    <phoneticPr fontId="2"/>
  </si>
  <si>
    <t>※　負荷率は冷房時50％、暖房時40％を初期値としています。把握している場合はその値を入力してください。</t>
    <rPh sb="2" eb="5">
      <t>フカリツ</t>
    </rPh>
    <rPh sb="6" eb="9">
      <t>レイボウジ</t>
    </rPh>
    <rPh sb="13" eb="16">
      <t>ダンボウジ</t>
    </rPh>
    <rPh sb="20" eb="23">
      <t>ショキチ</t>
    </rPh>
    <rPh sb="30" eb="32">
      <t>ハアク</t>
    </rPh>
    <rPh sb="36" eb="38">
      <t>バアイ</t>
    </rPh>
    <rPh sb="41" eb="42">
      <t>アタイ</t>
    </rPh>
    <rPh sb="43" eb="45">
      <t>ニュウリョク</t>
    </rPh>
    <phoneticPr fontId="2"/>
  </si>
  <si>
    <t>発電出力
(p)</t>
    <rPh sb="0" eb="4">
      <t>ハツデンシュツリョク</t>
    </rPh>
    <phoneticPr fontId="2"/>
  </si>
  <si>
    <t>流量
(q)</t>
    <rPh sb="0" eb="2">
      <t>リュウリョウ</t>
    </rPh>
    <phoneticPr fontId="2"/>
  </si>
  <si>
    <t>有効落差
(h)</t>
    <rPh sb="0" eb="4">
      <t>ユウコウラクサ</t>
    </rPh>
    <phoneticPr fontId="2"/>
  </si>
  <si>
    <t>台数
(n)</t>
    <rPh sb="0" eb="2">
      <t>ダイスウ</t>
    </rPh>
    <phoneticPr fontId="2"/>
  </si>
  <si>
    <t>稼働率(r2)</t>
    <rPh sb="0" eb="3">
      <t>カドウリツ</t>
    </rPh>
    <phoneticPr fontId="2"/>
  </si>
  <si>
    <t>総合効率(r1)</t>
    <rPh sb="0" eb="2">
      <t>ソウゴウ</t>
    </rPh>
    <rPh sb="2" eb="4">
      <t>コウリツ</t>
    </rPh>
    <phoneticPr fontId="2"/>
  </si>
  <si>
    <t>FIT買取価格
（売電価格）</t>
    <rPh sb="3" eb="7">
      <t>カイトリカカク</t>
    </rPh>
    <rPh sb="9" eb="13">
      <t>バイデンカカク</t>
    </rPh>
    <phoneticPr fontId="2"/>
  </si>
  <si>
    <t>発電出力（p=9.8×h×q×r1）　9.8は重力加速度</t>
    <rPh sb="0" eb="4">
      <t>ハツデンシュツリョク</t>
    </rPh>
    <rPh sb="23" eb="28">
      <t>ジュウリョクカソクド</t>
    </rPh>
    <phoneticPr fontId="2"/>
  </si>
  <si>
    <t>光熱費</t>
    <rPh sb="0" eb="3">
      <t>コウネツヒ</t>
    </rPh>
    <phoneticPr fontId="2"/>
  </si>
  <si>
    <t>円</t>
    <rPh sb="0" eb="1">
      <t>エン</t>
    </rPh>
    <phoneticPr fontId="2"/>
  </si>
  <si>
    <t>年間燃料
消費量</t>
    <rPh sb="2" eb="4">
      <t>ネンリョウ</t>
    </rPh>
    <phoneticPr fontId="2"/>
  </si>
  <si>
    <t>電気式</t>
    <rPh sb="0" eb="3">
      <t>デンキシキ</t>
    </rPh>
    <phoneticPr fontId="2"/>
  </si>
  <si>
    <t>ガス式（燃料転換含む）</t>
    <rPh sb="2" eb="3">
      <t>シキ</t>
    </rPh>
    <rPh sb="4" eb="8">
      <t>ネンリョウテンカン</t>
    </rPh>
    <rPh sb="8" eb="9">
      <t>フク</t>
    </rPh>
    <phoneticPr fontId="2"/>
  </si>
  <si>
    <t>水力発電　FIT買取価格（2025年度が初期値）</t>
    <rPh sb="0" eb="2">
      <t>スイリョク</t>
    </rPh>
    <rPh sb="2" eb="4">
      <t>ハツデン</t>
    </rPh>
    <rPh sb="8" eb="12">
      <t>カイトリカカク</t>
    </rPh>
    <rPh sb="17" eb="19">
      <t>ネンド</t>
    </rPh>
    <rPh sb="20" eb="23">
      <t>ショキチ</t>
    </rPh>
    <phoneticPr fontId="2"/>
  </si>
  <si>
    <t>燃料種類</t>
    <rPh sb="0" eb="3">
      <t>ネンリョウシュ</t>
    </rPh>
    <rPh sb="3" eb="4">
      <t>ルイ</t>
    </rPh>
    <phoneticPr fontId="2"/>
  </si>
  <si>
    <t>方式</t>
    <rPh sb="0" eb="2">
      <t>ホウシキ</t>
    </rPh>
    <phoneticPr fontId="2"/>
  </si>
  <si>
    <t>LPガス</t>
    <phoneticPr fontId="2"/>
  </si>
  <si>
    <t xml:space="preserve">
種別</t>
    <rPh sb="1" eb="3">
      <t>シュベツ</t>
    </rPh>
    <phoneticPr fontId="2"/>
  </si>
  <si>
    <r>
      <t>①
リサ</t>
    </r>
    <r>
      <rPr>
        <sz val="11"/>
        <rFont val="HG丸ｺﾞｼｯｸM-PRO"/>
        <family val="3"/>
        <charset val="128"/>
      </rPr>
      <t>イクル</t>
    </r>
    <r>
      <rPr>
        <sz val="11"/>
        <color theme="1"/>
        <rFont val="HG丸ｺﾞｼｯｸM-PRO"/>
        <family val="3"/>
        <charset val="128"/>
      </rPr>
      <t>廃棄物</t>
    </r>
    <rPh sb="7" eb="10">
      <t>ハイキブツ</t>
    </rPh>
    <phoneticPr fontId="2"/>
  </si>
  <si>
    <t>②
焼却又は埋め立て廃棄物</t>
    <rPh sb="2" eb="4">
      <t>ショウキャク</t>
    </rPh>
    <rPh sb="4" eb="5">
      <t>マタ</t>
    </rPh>
    <rPh sb="6" eb="7">
      <t>ウ</t>
    </rPh>
    <rPh sb="8" eb="9">
      <t>タ</t>
    </rPh>
    <rPh sb="10" eb="13">
      <t>ハイキブツ</t>
    </rPh>
    <phoneticPr fontId="2"/>
  </si>
  <si>
    <t>③
合計
(=①＋②)</t>
    <rPh sb="2" eb="4">
      <t>ゴウケイ</t>
    </rPh>
    <phoneticPr fontId="2"/>
  </si>
  <si>
    <t>④
リサイクル率
(=①/③×100)</t>
    <rPh sb="7" eb="8">
      <t>リツ</t>
    </rPh>
    <phoneticPr fontId="2"/>
  </si>
  <si>
    <t>トン</t>
    <phoneticPr fontId="2"/>
  </si>
  <si>
    <t>紙ごみ</t>
    <rPh sb="0" eb="1">
      <t>カミ</t>
    </rPh>
    <phoneticPr fontId="2"/>
  </si>
  <si>
    <t>生ごみ</t>
    <rPh sb="0" eb="1">
      <t>ナマ</t>
    </rPh>
    <phoneticPr fontId="2"/>
  </si>
  <si>
    <t>その他の燃やすごみ</t>
    <rPh sb="2" eb="3">
      <t>ホカ</t>
    </rPh>
    <rPh sb="4" eb="5">
      <t>モ</t>
    </rPh>
    <phoneticPr fontId="2"/>
  </si>
  <si>
    <t>埋め立てごみ</t>
    <phoneticPr fontId="2"/>
  </si>
  <si>
    <t>一般廃棄物排出量の合計</t>
    <phoneticPr fontId="2"/>
  </si>
  <si>
    <t>活動規模単位当たりの
廃棄物排出量</t>
    <phoneticPr fontId="2"/>
  </si>
  <si>
    <t>原単位①あたり</t>
    <rPh sb="0" eb="3">
      <t>ゲンタンイ</t>
    </rPh>
    <phoneticPr fontId="2"/>
  </si>
  <si>
    <t>-</t>
    <phoneticPr fontId="2"/>
  </si>
  <si>
    <t>原単位②あたり</t>
    <rPh sb="0" eb="3">
      <t>ゲンタンイ</t>
    </rPh>
    <phoneticPr fontId="2"/>
  </si>
  <si>
    <t>汚泥</t>
    <rPh sb="0" eb="2">
      <t>オデイ</t>
    </rPh>
    <phoneticPr fontId="2"/>
  </si>
  <si>
    <t>がれき類</t>
    <rPh sb="3" eb="4">
      <t>ルイ</t>
    </rPh>
    <phoneticPr fontId="2"/>
  </si>
  <si>
    <t>ガラスくず、コンクリ―トくず及び陶磁器くず</t>
    <rPh sb="14" eb="15">
      <t>オヨ</t>
    </rPh>
    <phoneticPr fontId="2"/>
  </si>
  <si>
    <t>金属くず</t>
    <rPh sb="0" eb="2">
      <t>キンゾク</t>
    </rPh>
    <phoneticPr fontId="2"/>
  </si>
  <si>
    <t>廃プラスチック類</t>
    <rPh sb="0" eb="1">
      <t>ハイ</t>
    </rPh>
    <rPh sb="7" eb="8">
      <t>ルイ</t>
    </rPh>
    <phoneticPr fontId="2"/>
  </si>
  <si>
    <t>廃油</t>
    <rPh sb="0" eb="2">
      <t>ハイユ</t>
    </rPh>
    <phoneticPr fontId="2"/>
  </si>
  <si>
    <t>廃酸・廃アルカリ</t>
    <rPh sb="0" eb="2">
      <t>ハイサン</t>
    </rPh>
    <rPh sb="3" eb="4">
      <t>ハイ</t>
    </rPh>
    <phoneticPr fontId="2"/>
  </si>
  <si>
    <t>産業廃棄物排出量の合計</t>
    <rPh sb="0" eb="2">
      <t>サンギョウ</t>
    </rPh>
    <phoneticPr fontId="2"/>
  </si>
  <si>
    <r>
      <rPr>
        <sz val="8"/>
        <color theme="1"/>
        <rFont val="HG丸ｺﾞｼｯｸM-PRO"/>
        <family val="3"/>
        <charset val="128"/>
      </rPr>
      <t>＜特別管理産業廃棄物＞</t>
    </r>
    <r>
      <rPr>
        <sz val="11"/>
        <color theme="1"/>
        <rFont val="HG丸ｺﾞｼｯｸM-PRO"/>
        <family val="3"/>
        <charset val="128"/>
      </rPr>
      <t xml:space="preserve">
 廃油</t>
    </r>
    <rPh sb="1" eb="3">
      <t>トクベツ</t>
    </rPh>
    <rPh sb="3" eb="5">
      <t>カンリ</t>
    </rPh>
    <rPh sb="5" eb="7">
      <t>サンギョウ</t>
    </rPh>
    <rPh sb="7" eb="10">
      <t>ハイキブツ</t>
    </rPh>
    <rPh sb="13" eb="15">
      <t>ハイユ</t>
    </rPh>
    <phoneticPr fontId="2"/>
  </si>
  <si>
    <r>
      <rPr>
        <sz val="8"/>
        <color theme="1"/>
        <rFont val="HG丸ｺﾞｼｯｸM-PRO"/>
        <family val="3"/>
        <charset val="128"/>
      </rPr>
      <t>＜特別管理産業廃棄物＞</t>
    </r>
    <r>
      <rPr>
        <sz val="11"/>
        <color theme="1"/>
        <rFont val="HG丸ｺﾞｼｯｸM-PRO"/>
        <family val="3"/>
        <charset val="128"/>
      </rPr>
      <t xml:space="preserve">
 廃酸・廃アルカリ</t>
    </r>
    <rPh sb="1" eb="3">
      <t>トクベツ</t>
    </rPh>
    <rPh sb="3" eb="5">
      <t>カンリ</t>
    </rPh>
    <rPh sb="5" eb="7">
      <t>サンギョウ</t>
    </rPh>
    <rPh sb="7" eb="10">
      <t>ハイキブツ</t>
    </rPh>
    <rPh sb="13" eb="14">
      <t>ハイ</t>
    </rPh>
    <rPh sb="14" eb="15">
      <t>サン</t>
    </rPh>
    <rPh sb="16" eb="17">
      <t>ハイ</t>
    </rPh>
    <phoneticPr fontId="2"/>
  </si>
  <si>
    <r>
      <rPr>
        <sz val="8"/>
        <color theme="1"/>
        <rFont val="HG丸ｺﾞｼｯｸM-PRO"/>
        <family val="3"/>
        <charset val="128"/>
      </rPr>
      <t>＜特別管理産業廃棄物＞</t>
    </r>
    <r>
      <rPr>
        <sz val="11"/>
        <color theme="1"/>
        <rFont val="HG丸ｺﾞｼｯｸM-PRO"/>
        <family val="3"/>
        <charset val="128"/>
      </rPr>
      <t xml:space="preserve">
 特定有害産業廃棄物</t>
    </r>
    <rPh sb="1" eb="3">
      <t>トクベツ</t>
    </rPh>
    <rPh sb="3" eb="5">
      <t>カンリ</t>
    </rPh>
    <rPh sb="5" eb="7">
      <t>サンギョウ</t>
    </rPh>
    <rPh sb="7" eb="10">
      <t>ハイキブツ</t>
    </rPh>
    <rPh sb="13" eb="15">
      <t>トクテイ</t>
    </rPh>
    <rPh sb="15" eb="17">
      <t>ユウガイ</t>
    </rPh>
    <rPh sb="17" eb="19">
      <t>サンギョウ</t>
    </rPh>
    <rPh sb="19" eb="22">
      <t>ハイキブツ</t>
    </rPh>
    <phoneticPr fontId="2"/>
  </si>
  <si>
    <t>特定管理産業廃棄物排出量の合計</t>
    <rPh sb="0" eb="2">
      <t>トクテイ</t>
    </rPh>
    <rPh sb="2" eb="4">
      <t>カンリ</t>
    </rPh>
    <rPh sb="4" eb="6">
      <t>サンギョウ</t>
    </rPh>
    <phoneticPr fontId="2"/>
  </si>
  <si>
    <t>産業廃棄物排出量の総合計</t>
    <rPh sb="0" eb="2">
      <t>サンギョウ</t>
    </rPh>
    <rPh sb="2" eb="5">
      <t>ハイキブツ</t>
    </rPh>
    <rPh sb="5" eb="7">
      <t>ハイシュツ</t>
    </rPh>
    <rPh sb="7" eb="8">
      <t>リョウ</t>
    </rPh>
    <rPh sb="9" eb="10">
      <t>ソウ</t>
    </rPh>
    <rPh sb="10" eb="12">
      <t>ゴウケイ</t>
    </rPh>
    <phoneticPr fontId="2"/>
  </si>
  <si>
    <t>活動規模単位当たりの
廃棄物排出量</t>
    <rPh sb="14" eb="16">
      <t>ハイシュツ</t>
    </rPh>
    <rPh sb="16" eb="17">
      <t>リョウ</t>
    </rPh>
    <phoneticPr fontId="2"/>
  </si>
  <si>
    <t>※水または紙のどちらか一方のみの記入でも構いません。</t>
    <rPh sb="1" eb="2">
      <t>ミズ</t>
    </rPh>
    <rPh sb="5" eb="6">
      <t>カミ</t>
    </rPh>
    <rPh sb="11" eb="13">
      <t>イッポウ</t>
    </rPh>
    <rPh sb="16" eb="18">
      <t>キニュウ</t>
    </rPh>
    <rPh sb="20" eb="21">
      <t>カマ</t>
    </rPh>
    <phoneticPr fontId="2"/>
  </si>
  <si>
    <t>資源の種別</t>
    <rPh sb="0" eb="2">
      <t>シゲン</t>
    </rPh>
    <rPh sb="3" eb="5">
      <t>シュベツ</t>
    </rPh>
    <phoneticPr fontId="2"/>
  </si>
  <si>
    <t>利用量</t>
    <rPh sb="0" eb="2">
      <t>リヨウ</t>
    </rPh>
    <rPh sb="2" eb="3">
      <t>リョウ</t>
    </rPh>
    <phoneticPr fontId="2"/>
  </si>
  <si>
    <t>水</t>
    <rPh sb="0" eb="1">
      <t>ミズ</t>
    </rPh>
    <phoneticPr fontId="2"/>
  </si>
  <si>
    <t>水道水</t>
    <rPh sb="0" eb="3">
      <t>スイドウスイ</t>
    </rPh>
    <phoneticPr fontId="2"/>
  </si>
  <si>
    <r>
      <t>ｍ</t>
    </r>
    <r>
      <rPr>
        <vertAlign val="superscript"/>
        <sz val="9"/>
        <color theme="1"/>
        <rFont val="HG丸ｺﾞｼｯｸM-PRO"/>
        <family val="3"/>
        <charset val="128"/>
      </rPr>
      <t>３</t>
    </r>
  </si>
  <si>
    <t>地下水</t>
    <rPh sb="0" eb="3">
      <t>チカスイ</t>
    </rPh>
    <phoneticPr fontId="2"/>
  </si>
  <si>
    <t>水使用量の合計</t>
    <rPh sb="0" eb="1">
      <t>ミズ</t>
    </rPh>
    <rPh sb="1" eb="4">
      <t>シヨウリョウ</t>
    </rPh>
    <rPh sb="5" eb="7">
      <t>ゴウケイ</t>
    </rPh>
    <phoneticPr fontId="2"/>
  </si>
  <si>
    <t>活動規模単位当たりの
水使用量</t>
    <phoneticPr fontId="2"/>
  </si>
  <si>
    <t>紙</t>
    <rPh sb="0" eb="1">
      <t>カミ</t>
    </rPh>
    <phoneticPr fontId="2"/>
  </si>
  <si>
    <t>枚</t>
    <rPh sb="0" eb="1">
      <t>マイ</t>
    </rPh>
    <phoneticPr fontId="2"/>
  </si>
  <si>
    <t>※1枚の重量を（</t>
    <phoneticPr fontId="2"/>
  </si>
  <si>
    <t>）gとして換算</t>
  </si>
  <si>
    <t>包装紙</t>
    <phoneticPr fontId="2"/>
  </si>
  <si>
    <t>その他の紙</t>
    <phoneticPr fontId="2"/>
  </si>
  <si>
    <t>紙使用量の合計</t>
    <rPh sb="0" eb="1">
      <t>カミ</t>
    </rPh>
    <rPh sb="1" eb="4">
      <t>シヨウリョウ</t>
    </rPh>
    <rPh sb="5" eb="7">
      <t>ゴウケイ</t>
    </rPh>
    <phoneticPr fontId="2"/>
  </si>
  <si>
    <t>活動規模単位当たりの
紙使用量</t>
    <rPh sb="11" eb="12">
      <t>カミ</t>
    </rPh>
    <phoneticPr fontId="2"/>
  </si>
  <si>
    <t>活動規模単位当たりの</t>
    <rPh sb="0" eb="2">
      <t>カツドウ</t>
    </rPh>
    <rPh sb="2" eb="4">
      <t>キボ</t>
    </rPh>
    <rPh sb="4" eb="6">
      <t>タンイ</t>
    </rPh>
    <rPh sb="6" eb="7">
      <t>ア</t>
    </rPh>
    <phoneticPr fontId="2"/>
  </si>
  <si>
    <t>前年度</t>
    <rPh sb="0" eb="3">
      <t>ゼンネンド</t>
    </rPh>
    <phoneticPr fontId="2"/>
  </si>
  <si>
    <t>最新年度</t>
    <rPh sb="0" eb="4">
      <t>サイシンネンド</t>
    </rPh>
    <phoneticPr fontId="2"/>
  </si>
  <si>
    <r>
      <t xml:space="preserve">業　種
</t>
    </r>
    <r>
      <rPr>
        <sz val="10"/>
        <color theme="1"/>
        <rFont val="HG丸ｺﾞｼｯｸM-PRO"/>
        <family val="3"/>
        <charset val="128"/>
      </rPr>
      <t xml:space="preserve">該当する業種を
プルダウンより選択してください。
</t>
    </r>
    <r>
      <rPr>
        <sz val="9"/>
        <color theme="1"/>
        <rFont val="HG丸ｺﾞｼｯｸM-PRO"/>
        <family val="3"/>
        <charset val="128"/>
      </rPr>
      <t>（最も当てはまるものを１つ）</t>
    </r>
    <rPh sb="0" eb="1">
      <t>ギョウ</t>
    </rPh>
    <rPh sb="2" eb="3">
      <t>シュ</t>
    </rPh>
    <rPh sb="5" eb="7">
      <t>ガイトウ</t>
    </rPh>
    <rPh sb="9" eb="11">
      <t>ギョウシュ</t>
    </rPh>
    <rPh sb="20" eb="22">
      <t>センタク</t>
    </rPh>
    <rPh sb="31" eb="32">
      <t>モット</t>
    </rPh>
    <rPh sb="33" eb="34">
      <t>ア</t>
    </rPh>
    <phoneticPr fontId="2"/>
  </si>
  <si>
    <t>コピー用紙（1枚4gが目安）</t>
    <rPh sb="7" eb="8">
      <t>マイ</t>
    </rPh>
    <rPh sb="11" eb="13">
      <t>メヤス</t>
    </rPh>
    <phoneticPr fontId="2"/>
  </si>
  <si>
    <t>「その他」を選択した場合は該当する業種を下の欄に記入</t>
    <rPh sb="3" eb="4">
      <t>タ</t>
    </rPh>
    <rPh sb="6" eb="8">
      <t>センタク</t>
    </rPh>
    <rPh sb="10" eb="12">
      <t>バアイ</t>
    </rPh>
    <rPh sb="13" eb="15">
      <t>ガイトウ</t>
    </rPh>
    <rPh sb="17" eb="19">
      <t>ギョウシュ</t>
    </rPh>
    <rPh sb="20" eb="21">
      <t>シタ</t>
    </rPh>
    <rPh sb="22" eb="23">
      <t>ラン</t>
    </rPh>
    <rPh sb="24" eb="26">
      <t>キニュウ</t>
    </rPh>
    <phoneticPr fontId="2"/>
  </si>
  <si>
    <t>エネルギー種別の排出係数</t>
    <rPh sb="5" eb="7">
      <t>シュベツ</t>
    </rPh>
    <rPh sb="8" eb="10">
      <t>ハイシュツ</t>
    </rPh>
    <rPh sb="10" eb="12">
      <t>ケイスウ</t>
    </rPh>
    <phoneticPr fontId="2"/>
  </si>
  <si>
    <t>参照（初期値の出典）</t>
    <rPh sb="0" eb="2">
      <t>サンショウ</t>
    </rPh>
    <rPh sb="3" eb="6">
      <t>ショキチ</t>
    </rPh>
    <rPh sb="7" eb="9">
      <t>シュッテン</t>
    </rPh>
    <phoneticPr fontId="2"/>
  </si>
  <si>
    <r>
      <rPr>
        <sz val="10"/>
        <color theme="0"/>
        <rFont val="Arai"/>
        <family val="2"/>
      </rPr>
      <t>エネルギー別</t>
    </r>
    <rPh sb="5" eb="6">
      <t>ベツ</t>
    </rPh>
    <phoneticPr fontId="2"/>
  </si>
  <si>
    <t>その他、対外的にアピールできる取組みがあればご記入ください</t>
    <rPh sb="4" eb="6">
      <t>タイガイ</t>
    </rPh>
    <rPh sb="6" eb="7">
      <t>テキ</t>
    </rPh>
    <phoneticPr fontId="2"/>
  </si>
  <si>
    <t>(公社)いしかわ環境パートナーシップ県民会議の活動に参加する</t>
    <rPh sb="1" eb="3">
      <t>コウシャ</t>
    </rPh>
    <rPh sb="8" eb="10">
      <t>カンキョウ</t>
    </rPh>
    <rPh sb="18" eb="20">
      <t>ケンミン</t>
    </rPh>
    <rPh sb="20" eb="22">
      <t>カイギ</t>
    </rPh>
    <rPh sb="23" eb="25">
      <t>カツドウ</t>
    </rPh>
    <rPh sb="26" eb="28">
      <t>サンカ</t>
    </rPh>
    <phoneticPr fontId="2"/>
  </si>
  <si>
    <t>敷地内、壁面、屋上等の緑化を行う</t>
    <phoneticPr fontId="2"/>
  </si>
  <si>
    <t>地域清掃などのボランティア活動に参加・協力する</t>
    <phoneticPr fontId="2"/>
  </si>
  <si>
    <t>いしかわ家庭版環境ＩＳＯに取組むなど、従業員等の家庭での取組みを推進する</t>
    <rPh sb="4" eb="6">
      <t>カテイ</t>
    </rPh>
    <rPh sb="6" eb="7">
      <t>バン</t>
    </rPh>
    <rPh sb="7" eb="9">
      <t>カンキョウ</t>
    </rPh>
    <rPh sb="13" eb="15">
      <t>トリク</t>
    </rPh>
    <rPh sb="19" eb="22">
      <t>ジュウギョウイン</t>
    </rPh>
    <rPh sb="22" eb="23">
      <t>トウ</t>
    </rPh>
    <rPh sb="24" eb="26">
      <t>カテイ</t>
    </rPh>
    <rPh sb="28" eb="30">
      <t>トリク</t>
    </rPh>
    <rPh sb="32" eb="34">
      <t>スイシン</t>
    </rPh>
    <phoneticPr fontId="2"/>
  </si>
  <si>
    <t>環境関連の法規制について理解・遵守する</t>
    <rPh sb="0" eb="2">
      <t>カンキョウ</t>
    </rPh>
    <rPh sb="2" eb="4">
      <t>カンレン</t>
    </rPh>
    <rPh sb="5" eb="6">
      <t>ホウ</t>
    </rPh>
    <rPh sb="6" eb="8">
      <t>キセイ</t>
    </rPh>
    <rPh sb="12" eb="14">
      <t>リカイ</t>
    </rPh>
    <rPh sb="15" eb="17">
      <t>ジュンシュ</t>
    </rPh>
    <phoneticPr fontId="2"/>
  </si>
  <si>
    <t>環境関連の研修会やセミナーに参加する</t>
    <rPh sb="0" eb="2">
      <t>カンキョウ</t>
    </rPh>
    <rPh sb="2" eb="4">
      <t>カンレン</t>
    </rPh>
    <rPh sb="5" eb="8">
      <t>ケンシュウカイ</t>
    </rPh>
    <rPh sb="14" eb="16">
      <t>サンカ</t>
    </rPh>
    <phoneticPr fontId="2"/>
  </si>
  <si>
    <t>市民や消費者等に環境に関する情報提供や啓発活動を行う</t>
    <rPh sb="0" eb="2">
      <t>シミン</t>
    </rPh>
    <rPh sb="3" eb="6">
      <t>ショウヒシャ</t>
    </rPh>
    <rPh sb="6" eb="7">
      <t>トウ</t>
    </rPh>
    <rPh sb="8" eb="10">
      <t>カンキョウ</t>
    </rPh>
    <rPh sb="11" eb="12">
      <t>カン</t>
    </rPh>
    <rPh sb="14" eb="16">
      <t>ジョウホウ</t>
    </rPh>
    <rPh sb="16" eb="18">
      <t>テイキョウ</t>
    </rPh>
    <rPh sb="19" eb="21">
      <t>ケイハツ</t>
    </rPh>
    <rPh sb="21" eb="23">
      <t>カツドウ</t>
    </rPh>
    <rPh sb="24" eb="25">
      <t>オコナ</t>
    </rPh>
    <phoneticPr fontId="2"/>
  </si>
  <si>
    <t>環境に関する催し物に参加し、環境に関する取組を紹介する</t>
    <rPh sb="0" eb="2">
      <t>カンキョウ</t>
    </rPh>
    <rPh sb="3" eb="4">
      <t>カン</t>
    </rPh>
    <rPh sb="6" eb="7">
      <t>モヨオ</t>
    </rPh>
    <rPh sb="8" eb="9">
      <t>モノ</t>
    </rPh>
    <rPh sb="10" eb="12">
      <t>サンカ</t>
    </rPh>
    <rPh sb="14" eb="16">
      <t>カンキョウ</t>
    </rPh>
    <rPh sb="17" eb="18">
      <t>カン</t>
    </rPh>
    <rPh sb="20" eb="22">
      <t>トリクミ</t>
    </rPh>
    <rPh sb="23" eb="25">
      <t>ショウカイ</t>
    </rPh>
    <phoneticPr fontId="2"/>
  </si>
  <si>
    <t>環境保全活動の計画や実施状況を社内に掲示する</t>
    <rPh sb="0" eb="2">
      <t>カンキョウ</t>
    </rPh>
    <rPh sb="2" eb="4">
      <t>ホゼン</t>
    </rPh>
    <rPh sb="4" eb="6">
      <t>カツドウ</t>
    </rPh>
    <rPh sb="7" eb="8">
      <t>ケイ</t>
    </rPh>
    <rPh sb="8" eb="9">
      <t>カク</t>
    </rPh>
    <rPh sb="10" eb="12">
      <t>ジッシ</t>
    </rPh>
    <rPh sb="12" eb="14">
      <t>ジョウキョウ</t>
    </rPh>
    <rPh sb="15" eb="17">
      <t>シャナイ</t>
    </rPh>
    <rPh sb="18" eb="20">
      <t>ケイジ</t>
    </rPh>
    <phoneticPr fontId="2"/>
  </si>
  <si>
    <t>環境保全に関する定例会議や、省エネ節電パトロールなどを通じて、従業員等に対して環境保全活動の重要性を啓発する</t>
    <rPh sb="0" eb="2">
      <t>カンキョウ</t>
    </rPh>
    <rPh sb="2" eb="4">
      <t>ホゼン</t>
    </rPh>
    <rPh sb="5" eb="6">
      <t>カン</t>
    </rPh>
    <rPh sb="8" eb="10">
      <t>テイレイ</t>
    </rPh>
    <rPh sb="10" eb="12">
      <t>カイギ</t>
    </rPh>
    <rPh sb="14" eb="15">
      <t>ショウ</t>
    </rPh>
    <rPh sb="17" eb="19">
      <t>セツデン</t>
    </rPh>
    <rPh sb="27" eb="28">
      <t>ツウ</t>
    </rPh>
    <rPh sb="31" eb="34">
      <t>ジュウギョウイン</t>
    </rPh>
    <rPh sb="34" eb="35">
      <t>トウ</t>
    </rPh>
    <rPh sb="36" eb="37">
      <t>タイ</t>
    </rPh>
    <rPh sb="39" eb="41">
      <t>カンキョウ</t>
    </rPh>
    <rPh sb="41" eb="43">
      <t>ホゼン</t>
    </rPh>
    <rPh sb="43" eb="45">
      <t>カツドウ</t>
    </rPh>
    <rPh sb="46" eb="49">
      <t>ジュウヨウセイ</t>
    </rPh>
    <rPh sb="50" eb="52">
      <t>ケイハツ</t>
    </rPh>
    <phoneticPr fontId="2"/>
  </si>
  <si>
    <t>環境保全活動を推進する担当者を決め、社内で掲示をし、組織的に取り組む。</t>
    <rPh sb="0" eb="2">
      <t>カンキョウ</t>
    </rPh>
    <rPh sb="2" eb="4">
      <t>ホゼン</t>
    </rPh>
    <rPh sb="4" eb="6">
      <t>カツドウ</t>
    </rPh>
    <rPh sb="7" eb="9">
      <t>スイシン</t>
    </rPh>
    <rPh sb="11" eb="14">
      <t>タントウシャ</t>
    </rPh>
    <rPh sb="15" eb="16">
      <t>キ</t>
    </rPh>
    <rPh sb="18" eb="20">
      <t>シャナイ</t>
    </rPh>
    <rPh sb="21" eb="23">
      <t>ケイジ</t>
    </rPh>
    <rPh sb="26" eb="29">
      <t>ソシキテキ</t>
    </rPh>
    <rPh sb="30" eb="31">
      <t>ト</t>
    </rPh>
    <rPh sb="32" eb="33">
      <t>ク</t>
    </rPh>
    <phoneticPr fontId="2"/>
  </si>
  <si>
    <t>評価</t>
    <rPh sb="0" eb="2">
      <t>ヒョウカ</t>
    </rPh>
    <phoneticPr fontId="2"/>
  </si>
  <si>
    <t>取組推進体制、その他の取組</t>
    <phoneticPr fontId="2"/>
  </si>
  <si>
    <t>チェック表４（取組推進体制、その他の取組）</t>
    <rPh sb="4" eb="5">
      <t>ヒョウ</t>
    </rPh>
    <rPh sb="7" eb="9">
      <t>トリクミ</t>
    </rPh>
    <rPh sb="9" eb="11">
      <t>スイシン</t>
    </rPh>
    <rPh sb="11" eb="13">
      <t>タイセイ</t>
    </rPh>
    <rPh sb="16" eb="17">
      <t>ホカ</t>
    </rPh>
    <rPh sb="18" eb="20">
      <t>トリクミ</t>
    </rPh>
    <phoneticPr fontId="2"/>
  </si>
  <si>
    <t>【事業者版環境ISO用チェック表】</t>
    <rPh sb="1" eb="4">
      <t>ジギョウシャ</t>
    </rPh>
    <rPh sb="4" eb="5">
      <t>バン</t>
    </rPh>
    <rPh sb="5" eb="7">
      <t>カンキョウ</t>
    </rPh>
    <rPh sb="10" eb="11">
      <t>ヨウ</t>
    </rPh>
    <rPh sb="15" eb="16">
      <t>ヒョウ</t>
    </rPh>
    <phoneticPr fontId="2"/>
  </si>
  <si>
    <t>その他、適切な資源の利用に関して取り組んでいる活動をご記入ください</t>
    <rPh sb="4" eb="6">
      <t>テキセツ</t>
    </rPh>
    <rPh sb="7" eb="9">
      <t>シゲン</t>
    </rPh>
    <rPh sb="10" eb="12">
      <t>リヨウ</t>
    </rPh>
    <rPh sb="13" eb="14">
      <t>カン</t>
    </rPh>
    <phoneticPr fontId="2"/>
  </si>
  <si>
    <t>事業活動の案内チラシや資料は、適正な部数を作成・配布する</t>
    <phoneticPr fontId="2"/>
  </si>
  <si>
    <t>電子情報機器の利用により、ペーパーレス化を進める</t>
    <phoneticPr fontId="2"/>
  </si>
  <si>
    <t>両面コピーと裏紙利用を徹底する</t>
    <phoneticPr fontId="2"/>
  </si>
  <si>
    <t>コピー用紙、印刷物は再生紙を使用する</t>
    <phoneticPr fontId="2"/>
  </si>
  <si>
    <t>会議用資料などの簡素化を徹底する</t>
    <phoneticPr fontId="2"/>
  </si>
  <si>
    <t>従業員等に節水を心がけるよう啓発する</t>
    <rPh sb="0" eb="3">
      <t>ジュウギョウイン</t>
    </rPh>
    <rPh sb="3" eb="4">
      <t>トウ</t>
    </rPh>
    <rPh sb="5" eb="7">
      <t>セッスイ</t>
    </rPh>
    <rPh sb="8" eb="9">
      <t>ココロ</t>
    </rPh>
    <rPh sb="14" eb="16">
      <t>ケイハツ</t>
    </rPh>
    <phoneticPr fontId="2"/>
  </si>
  <si>
    <t>水道配管からの漏水を定期的に点検する</t>
    <phoneticPr fontId="2"/>
  </si>
  <si>
    <t>洗車をする時は、水を流しっぱなしにしないようにする</t>
    <phoneticPr fontId="2"/>
  </si>
  <si>
    <t>雨水利用システムの導入により、散水やトイレ洗浄水として利用する</t>
    <rPh sb="9" eb="11">
      <t>ドウニュウ</t>
    </rPh>
    <rPh sb="15" eb="17">
      <t>サンスイ</t>
    </rPh>
    <rPh sb="21" eb="23">
      <t>センジョウ</t>
    </rPh>
    <rPh sb="23" eb="24">
      <t>スイ</t>
    </rPh>
    <phoneticPr fontId="2"/>
  </si>
  <si>
    <t>適切な資源利用に関する取組</t>
    <rPh sb="0" eb="2">
      <t>テキセツ</t>
    </rPh>
    <rPh sb="3" eb="5">
      <t>シゲン</t>
    </rPh>
    <rPh sb="5" eb="7">
      <t>リヨウ</t>
    </rPh>
    <rPh sb="8" eb="9">
      <t>カン</t>
    </rPh>
    <rPh sb="11" eb="13">
      <t>トリクミ</t>
    </rPh>
    <phoneticPr fontId="2"/>
  </si>
  <si>
    <t>チェック表３（適切な資源利用に関する取組）</t>
    <rPh sb="4" eb="5">
      <t>ヒョウ</t>
    </rPh>
    <phoneticPr fontId="2"/>
  </si>
  <si>
    <t>その他、廃棄物の削減やリサイクル推進に関して取り組んでいる活動をご記入ください</t>
    <rPh sb="4" eb="7">
      <t>ハイキブツ</t>
    </rPh>
    <rPh sb="8" eb="10">
      <t>サクゲン</t>
    </rPh>
    <rPh sb="16" eb="18">
      <t>スイシン</t>
    </rPh>
    <rPh sb="19" eb="20">
      <t>カン</t>
    </rPh>
    <phoneticPr fontId="2"/>
  </si>
  <si>
    <t>取引先の選定に際しては、環境保全の取組を行っているか否かを配慮する</t>
  </si>
  <si>
    <t>「石川県エコ・リサイクル認定製品」や「いしかわエコデザイン賞受賞製品・サービス」を優先的に使用する</t>
  </si>
  <si>
    <t>環境に配慮した製品を優先的に選ぶための基準、リストを作成する</t>
  </si>
  <si>
    <t>エコマーク製品、グリーンマーク製品を優先的に購入する</t>
    <phoneticPr fontId="2"/>
  </si>
  <si>
    <t>再使用・リサイクルしやすい製品を優先的に購入・使用する</t>
  </si>
  <si>
    <t>詰め替え可能な製品を優先的に購入・使用する</t>
  </si>
  <si>
    <t>グリーン購入について</t>
    <rPh sb="4" eb="6">
      <t>コウニュウ</t>
    </rPh>
    <phoneticPr fontId="2"/>
  </si>
  <si>
    <t>産業廃棄物の最終処分先を定期的に、直接、チェックする</t>
  </si>
  <si>
    <t>事業活動で発生するごみは、市町のルールに従って処理する</t>
    <phoneticPr fontId="2"/>
  </si>
  <si>
    <t>マニフェストをもとに産業廃棄物の適正な処理を確認する</t>
  </si>
  <si>
    <t>産業廃棄物を分別・回収・リサイクルを徹底する</t>
    <rPh sb="18" eb="20">
      <t>テッテイ</t>
    </rPh>
    <phoneticPr fontId="2"/>
  </si>
  <si>
    <t>シュレッダーの使用を機密文書に限る</t>
  </si>
  <si>
    <t>排出する一般廃棄物の分別を徹底する</t>
  </si>
  <si>
    <t>不必要な使い捨てプラスチックの使用を抑制する</t>
    <rPh sb="0" eb="3">
      <t>フヒツヨウ</t>
    </rPh>
    <rPh sb="4" eb="5">
      <t>ツカ</t>
    </rPh>
    <rPh sb="6" eb="7">
      <t>ス</t>
    </rPh>
    <rPh sb="15" eb="17">
      <t>シヨウ</t>
    </rPh>
    <rPh sb="18" eb="20">
      <t>ヨクセイ</t>
    </rPh>
    <phoneticPr fontId="2"/>
  </si>
  <si>
    <t>事業活動での廃棄物の発生抑制に取り組む</t>
    <rPh sb="0" eb="2">
      <t>ジギョウ</t>
    </rPh>
    <rPh sb="2" eb="4">
      <t>カツドウ</t>
    </rPh>
    <phoneticPr fontId="2"/>
  </si>
  <si>
    <t>廃棄物について</t>
    <rPh sb="0" eb="3">
      <t>ハイキブツ</t>
    </rPh>
    <phoneticPr fontId="2"/>
  </si>
  <si>
    <t>廃棄物の削減、リサイクルの推進に関する取組</t>
    <rPh sb="0" eb="3">
      <t>ハイキブツ</t>
    </rPh>
    <rPh sb="4" eb="6">
      <t>サクゲン</t>
    </rPh>
    <rPh sb="13" eb="15">
      <t>スイシン</t>
    </rPh>
    <rPh sb="16" eb="17">
      <t>カン</t>
    </rPh>
    <rPh sb="19" eb="21">
      <t>トリクミ</t>
    </rPh>
    <phoneticPr fontId="2"/>
  </si>
  <si>
    <t>チェック表２（廃棄物の削減、リサイクルの推進に関する取組）</t>
    <rPh sb="4" eb="5">
      <t>ヒョウ</t>
    </rPh>
    <rPh sb="20" eb="22">
      <t>スイシン</t>
    </rPh>
    <phoneticPr fontId="2"/>
  </si>
  <si>
    <t>その他、二酸化炭素の削減に関して取り組んでいる活動をご記入ください</t>
    <rPh sb="2" eb="3">
      <t>ホカ</t>
    </rPh>
    <rPh sb="4" eb="7">
      <t>ニサンカ</t>
    </rPh>
    <rPh sb="7" eb="9">
      <t>タンソ</t>
    </rPh>
    <rPh sb="10" eb="12">
      <t>サクゲン</t>
    </rPh>
    <rPh sb="13" eb="14">
      <t>カン</t>
    </rPh>
    <rPh sb="16" eb="17">
      <t>ト</t>
    </rPh>
    <rPh sb="18" eb="19">
      <t>ク</t>
    </rPh>
    <rPh sb="23" eb="25">
      <t>カツドウ</t>
    </rPh>
    <rPh sb="27" eb="29">
      <t>キニュウ</t>
    </rPh>
    <phoneticPr fontId="2"/>
  </si>
  <si>
    <t>専門家による省エネ診断を受診する</t>
    <rPh sb="0" eb="3">
      <t>センモンカ</t>
    </rPh>
    <phoneticPr fontId="2"/>
  </si>
  <si>
    <t>自動販売機の省エネ化や台数削減、適切な温度設定等を行う</t>
    <phoneticPr fontId="2"/>
  </si>
  <si>
    <t>再生可能エネルギー由来の電力を調達する</t>
    <rPh sb="0" eb="2">
      <t>サイセイ</t>
    </rPh>
    <rPh sb="2" eb="4">
      <t>カノウ</t>
    </rPh>
    <rPh sb="9" eb="11">
      <t>ユライ</t>
    </rPh>
    <rPh sb="12" eb="14">
      <t>デンリョク</t>
    </rPh>
    <rPh sb="15" eb="17">
      <t>チョウタツ</t>
    </rPh>
    <phoneticPr fontId="2"/>
  </si>
  <si>
    <t>太陽光発電など再生可能エネルギー関連設備を導入する（PPAの活用も含む）</t>
    <rPh sb="7" eb="9">
      <t>サイセイ</t>
    </rPh>
    <rPh sb="9" eb="11">
      <t>カノウ</t>
    </rPh>
    <rPh sb="16" eb="18">
      <t>カンレン</t>
    </rPh>
    <rPh sb="18" eb="20">
      <t>セツビ</t>
    </rPh>
    <rPh sb="30" eb="32">
      <t>カツヨウ</t>
    </rPh>
    <rPh sb="33" eb="34">
      <t>フク</t>
    </rPh>
    <phoneticPr fontId="2"/>
  </si>
  <si>
    <t>ノー残業デーなど、残業を減らし早めの照明・空調のスイッチオフに心掛ける</t>
    <rPh sb="9" eb="11">
      <t>ザンギョウ</t>
    </rPh>
    <phoneticPr fontId="2"/>
  </si>
  <si>
    <t>エレベータの節約利用を徹底する（エレベータの稼働を半減・停止する等）</t>
    <phoneticPr fontId="2"/>
  </si>
  <si>
    <t>温水洗浄便座は保温・温水の温度設定を下げ、不使用時はふたを閉める</t>
  </si>
  <si>
    <t>省エネ型のOA機器を導入する</t>
  </si>
  <si>
    <t>長時間席を離れるときは、OA機器の電源を切るかスタンバイモードにする</t>
    <phoneticPr fontId="2"/>
  </si>
  <si>
    <t>OA機器の節電機能を活用する</t>
  </si>
  <si>
    <t>その他の取組</t>
    <rPh sb="2" eb="3">
      <t>タ</t>
    </rPh>
    <rPh sb="4" eb="6">
      <t>トリクミ</t>
    </rPh>
    <phoneticPr fontId="2"/>
  </si>
  <si>
    <t>トラック等による貨物輸送を、一括大量輸送が可能な、最寄りの港や駅からの
海上輸送や鉄道輸送に転換する。（モーダルシフト）</t>
    <phoneticPr fontId="2"/>
  </si>
  <si>
    <t>電気自動車やハイブリッド自動車など電動車の導入を進める</t>
    <rPh sb="17" eb="19">
      <t>デンドウ</t>
    </rPh>
    <rPh sb="19" eb="20">
      <t>シャ</t>
    </rPh>
    <phoneticPr fontId="2"/>
  </si>
  <si>
    <t>ノーカーデーを設けるなど、公共交通機関、自転車の利用に努める</t>
  </si>
  <si>
    <t>車両の点検・整備と燃費の確認を定期的に行う</t>
  </si>
  <si>
    <t>エコドライブの推進体制を作り、組織的に取り組む</t>
  </si>
  <si>
    <t>車で移動する場合には、相乗りを徹底する</t>
  </si>
  <si>
    <t>顧客訪問や打合せなどのルート、時間、回数を計画的に行う</t>
  </si>
  <si>
    <t>輸送・移動について</t>
    <rPh sb="0" eb="2">
      <t>ユソウ</t>
    </rPh>
    <rPh sb="3" eb="5">
      <t>イドウ</t>
    </rPh>
    <phoneticPr fontId="2"/>
  </si>
  <si>
    <t>屋根への遮熱塗料の塗布や、屋上の緑化により、断熱性を高める</t>
    <rPh sb="0" eb="2">
      <t>ヤネ</t>
    </rPh>
    <rPh sb="4" eb="6">
      <t>シャネツ</t>
    </rPh>
    <rPh sb="6" eb="8">
      <t>トリョウ</t>
    </rPh>
    <rPh sb="9" eb="11">
      <t>トフ</t>
    </rPh>
    <rPh sb="13" eb="15">
      <t>オクジョウ</t>
    </rPh>
    <rPh sb="16" eb="18">
      <t>リョクカ</t>
    </rPh>
    <rPh sb="22" eb="25">
      <t>ダンネツセイ</t>
    </rPh>
    <rPh sb="26" eb="27">
      <t>タカ</t>
    </rPh>
    <phoneticPr fontId="2"/>
  </si>
  <si>
    <t>断熱性能の高い複層ガラスや樹脂サッシ等の導入などにより、建築物の断熱性能の向上に取り組む</t>
    <rPh sb="0" eb="2">
      <t>ダンネツ</t>
    </rPh>
    <rPh sb="2" eb="4">
      <t>セイノウ</t>
    </rPh>
    <rPh sb="5" eb="6">
      <t>タカ</t>
    </rPh>
    <rPh sb="7" eb="9">
      <t>フクソウ</t>
    </rPh>
    <rPh sb="13" eb="15">
      <t>ジュシ</t>
    </rPh>
    <rPh sb="18" eb="19">
      <t>トウ</t>
    </rPh>
    <rPh sb="20" eb="22">
      <t>ドウニュウ</t>
    </rPh>
    <rPh sb="28" eb="31">
      <t>ケンチクブツ</t>
    </rPh>
    <rPh sb="32" eb="34">
      <t>ダンネツ</t>
    </rPh>
    <rPh sb="34" eb="36">
      <t>セイノウ</t>
    </rPh>
    <rPh sb="37" eb="39">
      <t>コウジョウ</t>
    </rPh>
    <rPh sb="40" eb="41">
      <t>ト</t>
    </rPh>
    <rPh sb="42" eb="43">
      <t>ク</t>
    </rPh>
    <phoneticPr fontId="2"/>
  </si>
  <si>
    <t>省エネ型のエアコンを導入する</t>
  </si>
  <si>
    <t>冷凍空調機器を定期的に点検する</t>
    <rPh sb="0" eb="2">
      <t>レイトウ</t>
    </rPh>
    <rPh sb="2" eb="4">
      <t>クウチョウ</t>
    </rPh>
    <rPh sb="4" eb="6">
      <t>キキ</t>
    </rPh>
    <rPh sb="7" eb="10">
      <t>テイキテキ</t>
    </rPh>
    <rPh sb="11" eb="13">
      <t>テンケン</t>
    </rPh>
    <phoneticPr fontId="2"/>
  </si>
  <si>
    <t>グリーンカーテンやすだれ、遮熱フィルム、ブラインド等により、時期に合わせて冷暖房効率を高める</t>
    <rPh sb="30" eb="32">
      <t>ジキ</t>
    </rPh>
    <rPh sb="33" eb="34">
      <t>ア</t>
    </rPh>
    <rPh sb="37" eb="40">
      <t>レイダンボウ</t>
    </rPh>
    <rPh sb="40" eb="42">
      <t>コウリツ</t>
    </rPh>
    <rPh sb="43" eb="44">
      <t>タカ</t>
    </rPh>
    <phoneticPr fontId="2"/>
  </si>
  <si>
    <t>エアコンの室外機周辺に物を置かず、夏場は日よけの設置や散水を行う</t>
    <rPh sb="8" eb="10">
      <t>シュウヘン</t>
    </rPh>
    <rPh sb="17" eb="19">
      <t>ナツバ</t>
    </rPh>
    <rPh sb="20" eb="21">
      <t>ヒ</t>
    </rPh>
    <rPh sb="24" eb="26">
      <t>セッチ</t>
    </rPh>
    <rPh sb="27" eb="29">
      <t>サンスイ</t>
    </rPh>
    <rPh sb="30" eb="31">
      <t>オコナ</t>
    </rPh>
    <phoneticPr fontId="2"/>
  </si>
  <si>
    <t>エアコンのフィルターや室外機等を定期的に清掃する</t>
    <rPh sb="11" eb="14">
      <t>シツガイキ</t>
    </rPh>
    <rPh sb="14" eb="15">
      <t>トウ</t>
    </rPh>
    <rPh sb="16" eb="19">
      <t>テイキテキ</t>
    </rPh>
    <phoneticPr fontId="2"/>
  </si>
  <si>
    <t>エアコンを使用するときはサーキュレーター等を併用し空気を循環させる</t>
  </si>
  <si>
    <t>無理のない範囲で空調の使用時間を短くする（３０分前のスイッチオフ 等）</t>
    <phoneticPr fontId="2"/>
  </si>
  <si>
    <t>不要エリア、不要時の空調を停止する</t>
    <rPh sb="0" eb="2">
      <t>フヨウ</t>
    </rPh>
    <rPh sb="6" eb="8">
      <t>フヨウ</t>
    </rPh>
    <rPh sb="8" eb="9">
      <t>ジ</t>
    </rPh>
    <rPh sb="10" eb="12">
      <t>クウチョウ</t>
    </rPh>
    <rPh sb="13" eb="15">
      <t>テイシ</t>
    </rPh>
    <phoneticPr fontId="2"/>
  </si>
  <si>
    <t>時期に合わせてクールビズ、ウォームビズに取組む</t>
    <rPh sb="0" eb="2">
      <t>ジキ</t>
    </rPh>
    <rPh sb="3" eb="4">
      <t>ア</t>
    </rPh>
    <rPh sb="20" eb="22">
      <t>トリク</t>
    </rPh>
    <phoneticPr fontId="2"/>
  </si>
  <si>
    <t>夏場の室温は２８℃、冬場の室温は２０℃を目安とする</t>
    <rPh sb="0" eb="2">
      <t>ナツバ</t>
    </rPh>
    <rPh sb="3" eb="5">
      <t>シツオン</t>
    </rPh>
    <rPh sb="10" eb="12">
      <t>フユバ</t>
    </rPh>
    <rPh sb="13" eb="15">
      <t>シツオン</t>
    </rPh>
    <phoneticPr fontId="2"/>
  </si>
  <si>
    <t>冷凍･空調･断熱について</t>
    <rPh sb="0" eb="2">
      <t>レイトウ</t>
    </rPh>
    <rPh sb="3" eb="5">
      <t>クウチョウ</t>
    </rPh>
    <rPh sb="6" eb="8">
      <t>ダンネツ</t>
    </rPh>
    <phoneticPr fontId="2"/>
  </si>
  <si>
    <t>部分消灯を行うため、事務所の照明点滅回路を変更する</t>
  </si>
  <si>
    <t>部分消灯を行うため、事務所の照明点滅回路を変更する</t>
    <phoneticPr fontId="2"/>
  </si>
  <si>
    <t>従来型蛍光灯などの照明をＬＥＤに交換する</t>
    <rPh sb="9" eb="11">
      <t>ショウメイ</t>
    </rPh>
    <phoneticPr fontId="2"/>
  </si>
  <si>
    <t>照明を高効率照明（ＬＥＤ等）に交換する</t>
    <rPh sb="0" eb="2">
      <t>ショウメイ</t>
    </rPh>
    <rPh sb="3" eb="6">
      <t>コウコウリツ</t>
    </rPh>
    <rPh sb="6" eb="8">
      <t>ショウメイ</t>
    </rPh>
    <rPh sb="12" eb="13">
      <t>トウ</t>
    </rPh>
    <phoneticPr fontId="2"/>
  </si>
  <si>
    <t>照明のカバーを定期的に清掃する</t>
    <rPh sb="7" eb="10">
      <t>テイキテキ</t>
    </rPh>
    <phoneticPr fontId="2"/>
  </si>
  <si>
    <t>トイレや給湯室、廊下等に、人感センサーを導入する</t>
  </si>
  <si>
    <t>照明の消し忘れが多い場所や、あまり使用しない通路等に人感センサーを設置する</t>
    <rPh sb="24" eb="25">
      <t>トウ</t>
    </rPh>
    <phoneticPr fontId="2"/>
  </si>
  <si>
    <t>照明の間引きや、廊下・窓際の消灯（昼光利用）を行う</t>
    <rPh sb="0" eb="2">
      <t>ショウメイ</t>
    </rPh>
    <rPh sb="3" eb="5">
      <t>マビ</t>
    </rPh>
    <rPh sb="8" eb="10">
      <t>ロウカ</t>
    </rPh>
    <rPh sb="11" eb="13">
      <t>マドギワ</t>
    </rPh>
    <rPh sb="14" eb="16">
      <t>ショウトウ</t>
    </rPh>
    <rPh sb="17" eb="18">
      <t>ヒル</t>
    </rPh>
    <rPh sb="18" eb="19">
      <t>ヒカリ</t>
    </rPh>
    <rPh sb="19" eb="21">
      <t>リヨウ</t>
    </rPh>
    <rPh sb="23" eb="24">
      <t>オコナ</t>
    </rPh>
    <phoneticPr fontId="2"/>
  </si>
  <si>
    <t>空室や昼休憩時など、不要エリア・不要時の消灯を徹底する</t>
    <rPh sb="0" eb="1">
      <t>ア</t>
    </rPh>
    <rPh sb="1" eb="2">
      <t>シツ</t>
    </rPh>
    <rPh sb="3" eb="4">
      <t>ヒル</t>
    </rPh>
    <rPh sb="4" eb="6">
      <t>キュウケイ</t>
    </rPh>
    <rPh sb="6" eb="7">
      <t>ジ</t>
    </rPh>
    <rPh sb="10" eb="12">
      <t>フヨウ</t>
    </rPh>
    <rPh sb="16" eb="18">
      <t>フヨウ</t>
    </rPh>
    <rPh sb="18" eb="19">
      <t>ジ</t>
    </rPh>
    <rPh sb="20" eb="22">
      <t>ショウトウ</t>
    </rPh>
    <rPh sb="23" eb="25">
      <t>テッテイ</t>
    </rPh>
    <phoneticPr fontId="2"/>
  </si>
  <si>
    <t>照明について</t>
    <rPh sb="0" eb="2">
      <t>ショウメイ</t>
    </rPh>
    <phoneticPr fontId="2"/>
  </si>
  <si>
    <t>二酸化炭素排出量の削減に関する取組</t>
    <rPh sb="0" eb="3">
      <t>ニサンカ</t>
    </rPh>
    <rPh sb="3" eb="5">
      <t>タンソ</t>
    </rPh>
    <rPh sb="5" eb="7">
      <t>ハイシュツ</t>
    </rPh>
    <rPh sb="7" eb="8">
      <t>リョウ</t>
    </rPh>
    <rPh sb="9" eb="11">
      <t>サクゲン</t>
    </rPh>
    <rPh sb="12" eb="13">
      <t>カン</t>
    </rPh>
    <rPh sb="15" eb="17">
      <t>トリクミ</t>
    </rPh>
    <phoneticPr fontId="2"/>
  </si>
  <si>
    <t>チェック表１（二酸化炭素排出量の削減に関する取組）</t>
    <rPh sb="4" eb="5">
      <t>ヒョウ</t>
    </rPh>
    <phoneticPr fontId="2"/>
  </si>
  <si>
    <t>【工場・施設版環境ISO用チェック表】</t>
    <rPh sb="1" eb="3">
      <t>コウジョウ</t>
    </rPh>
    <rPh sb="4" eb="6">
      <t>シセツ</t>
    </rPh>
    <rPh sb="6" eb="7">
      <t>バン</t>
    </rPh>
    <rPh sb="7" eb="9">
      <t>カンキョウ</t>
    </rPh>
    <rPh sb="12" eb="13">
      <t>ヨウ</t>
    </rPh>
    <rPh sb="17" eb="18">
      <t>ヒョウ</t>
    </rPh>
    <phoneticPr fontId="2"/>
  </si>
  <si>
    <t>照明の消し忘れが多い場所や、あまり使用しない通路等に人感センサーを設置する</t>
    <phoneticPr fontId="2"/>
  </si>
  <si>
    <t>部分消灯を行うため、工場や事務所の照明点滅回路を変更する</t>
    <rPh sb="10" eb="12">
      <t>コウジョウ</t>
    </rPh>
    <phoneticPr fontId="2"/>
  </si>
  <si>
    <t>場所や季節に合わせて適切な照度管理を行う</t>
  </si>
  <si>
    <t>外気導入による負荷を減らすため、換気設備の間欠運転やインバータ化により、外気取り入れ量を調節する</t>
    <rPh sb="18" eb="20">
      <t>セツビ</t>
    </rPh>
    <rPh sb="31" eb="32">
      <t>カ</t>
    </rPh>
    <phoneticPr fontId="2"/>
  </si>
  <si>
    <t>冷凍機の冷水出口温度を高めに設定し、冷凍機やヒートポンプ等の動力を削減する</t>
    <phoneticPr fontId="2"/>
  </si>
  <si>
    <t>熱源機の温水出口の温度を低めに設定し、熱源機ヒートポンプ等の動力を削減する</t>
    <phoneticPr fontId="2"/>
  </si>
  <si>
    <t>空調機器の一斉の起動を避ける（運転時間を前倒しする、運転時間をフロアごとに時間調整する 等）</t>
  </si>
  <si>
    <t>ビニールカーテンの設置など、空調エリアへの外気侵入を遮断する</t>
    <rPh sb="9" eb="11">
      <t>セッチ</t>
    </rPh>
    <rPh sb="14" eb="16">
      <t>クウチョウ</t>
    </rPh>
    <rPh sb="21" eb="23">
      <t>ガイキ</t>
    </rPh>
    <rPh sb="23" eb="25">
      <t>シンニュウ</t>
    </rPh>
    <rPh sb="26" eb="28">
      <t>シャダン</t>
    </rPh>
    <phoneticPr fontId="2"/>
  </si>
  <si>
    <t>発熱機器に対して、局所排気や放熱遮断を行う</t>
    <rPh sb="0" eb="2">
      <t>ハツネツ</t>
    </rPh>
    <rPh sb="2" eb="4">
      <t>キキ</t>
    </rPh>
    <rPh sb="5" eb="6">
      <t>タイ</t>
    </rPh>
    <rPh sb="9" eb="11">
      <t>キョクショ</t>
    </rPh>
    <rPh sb="11" eb="13">
      <t>ハイキ</t>
    </rPh>
    <rPh sb="14" eb="16">
      <t>ホウネツ</t>
    </rPh>
    <rPh sb="16" eb="18">
      <t>シャダン</t>
    </rPh>
    <rPh sb="19" eb="20">
      <t>オコナ</t>
    </rPh>
    <phoneticPr fontId="2"/>
  </si>
  <si>
    <t>電気室、サーバー室の空調設定温度が低すぎないかを確認し、見直す</t>
  </si>
  <si>
    <t>その他設備機器について</t>
    <rPh sb="2" eb="3">
      <t>タ</t>
    </rPh>
    <rPh sb="3" eb="5">
      <t>セツビ</t>
    </rPh>
    <rPh sb="5" eb="7">
      <t>キキ</t>
    </rPh>
    <phoneticPr fontId="2"/>
  </si>
  <si>
    <t>デマンド監視装置を導入のうえ、目標デマンド値に設定し、警報発生時にあらかじめ決めておいた節電対策を実施する</t>
    <rPh sb="15" eb="17">
      <t>モクヒョウ</t>
    </rPh>
    <rPh sb="21" eb="22">
      <t>アタイ</t>
    </rPh>
    <rPh sb="23" eb="25">
      <t>セッテイ</t>
    </rPh>
    <phoneticPr fontId="2"/>
  </si>
  <si>
    <t>インバーターによって設備機器のモーター回転数を制御する</t>
    <rPh sb="12" eb="14">
      <t>キキ</t>
    </rPh>
    <phoneticPr fontId="2"/>
  </si>
  <si>
    <t>電力不要時に、負荷遮断・変圧器の遮断を行う</t>
    <phoneticPr fontId="2"/>
  </si>
  <si>
    <t>排ガス温度を管理し、ボイラーの空気比を適正に設定する（低空気比運転）</t>
    <rPh sb="0" eb="1">
      <t>ハイ</t>
    </rPh>
    <rPh sb="3" eb="5">
      <t>オンド</t>
    </rPh>
    <rPh sb="6" eb="8">
      <t>カンリ</t>
    </rPh>
    <rPh sb="15" eb="17">
      <t>クウキ</t>
    </rPh>
    <rPh sb="17" eb="18">
      <t>ヒ</t>
    </rPh>
    <rPh sb="19" eb="21">
      <t>テキセイ</t>
    </rPh>
    <rPh sb="22" eb="24">
      <t>セッテイ</t>
    </rPh>
    <rPh sb="27" eb="28">
      <t>テイ</t>
    </rPh>
    <rPh sb="28" eb="30">
      <t>クウキ</t>
    </rPh>
    <rPh sb="30" eb="31">
      <t>ヒ</t>
    </rPh>
    <rPh sb="31" eb="33">
      <t>ウンテン</t>
    </rPh>
    <phoneticPr fontId="2"/>
  </si>
  <si>
    <t>高効率な設備機器を導入する</t>
    <rPh sb="0" eb="3">
      <t>コウコウリツ</t>
    </rPh>
    <rPh sb="4" eb="6">
      <t>セツビ</t>
    </rPh>
    <rPh sb="6" eb="8">
      <t>キキ</t>
    </rPh>
    <rPh sb="9" eb="11">
      <t>ドウニュウ</t>
    </rPh>
    <phoneticPr fontId="2"/>
  </si>
  <si>
    <t>設備機器の定期的な点検や保守を行う</t>
    <rPh sb="0" eb="2">
      <t>セツビ</t>
    </rPh>
    <rPh sb="2" eb="4">
      <t>キキ</t>
    </rPh>
    <rPh sb="5" eb="7">
      <t>テイキ</t>
    </rPh>
    <rPh sb="7" eb="8">
      <t>テキ</t>
    </rPh>
    <rPh sb="9" eb="11">
      <t>テンケン</t>
    </rPh>
    <rPh sb="12" eb="14">
      <t>ホシュ</t>
    </rPh>
    <rPh sb="15" eb="16">
      <t>オコナ</t>
    </rPh>
    <phoneticPr fontId="2"/>
  </si>
  <si>
    <t>設備機器のフィルター、ストレーナー等の定期的な清掃や交換を行う</t>
    <rPh sb="0" eb="2">
      <t>セツビ</t>
    </rPh>
    <rPh sb="2" eb="4">
      <t>キキ</t>
    </rPh>
    <rPh sb="17" eb="18">
      <t>トウ</t>
    </rPh>
    <rPh sb="19" eb="22">
      <t>テイキテキ</t>
    </rPh>
    <rPh sb="23" eb="25">
      <t>セイソウ</t>
    </rPh>
    <rPh sb="26" eb="28">
      <t>コウカン</t>
    </rPh>
    <rPh sb="29" eb="30">
      <t>オコナ</t>
    </rPh>
    <phoneticPr fontId="2"/>
  </si>
  <si>
    <t>設備機器の漏洩点検（水、空気、蒸気等）を定期的に行う</t>
    <rPh sb="0" eb="2">
      <t>セツビ</t>
    </rPh>
    <rPh sb="2" eb="4">
      <t>キキ</t>
    </rPh>
    <rPh sb="5" eb="7">
      <t>ロウエイ</t>
    </rPh>
    <rPh sb="7" eb="9">
      <t>テンケン</t>
    </rPh>
    <rPh sb="10" eb="11">
      <t>ミズ</t>
    </rPh>
    <rPh sb="12" eb="14">
      <t>クウキ</t>
    </rPh>
    <rPh sb="15" eb="17">
      <t>ジョウキ</t>
    </rPh>
    <rPh sb="17" eb="18">
      <t>トウ</t>
    </rPh>
    <rPh sb="20" eb="23">
      <t>テイキテキ</t>
    </rPh>
    <rPh sb="24" eb="25">
      <t>オコナ</t>
    </rPh>
    <phoneticPr fontId="2"/>
  </si>
  <si>
    <t>設備機器に必要な運転準備時間を把握し、運転開始時間を見直す</t>
    <rPh sb="0" eb="2">
      <t>セツビ</t>
    </rPh>
    <rPh sb="2" eb="4">
      <t>キキ</t>
    </rPh>
    <rPh sb="5" eb="7">
      <t>ヒツヨウ</t>
    </rPh>
    <rPh sb="8" eb="10">
      <t>ウンテン</t>
    </rPh>
    <rPh sb="10" eb="12">
      <t>ジュンビ</t>
    </rPh>
    <rPh sb="12" eb="14">
      <t>ジカン</t>
    </rPh>
    <rPh sb="15" eb="17">
      <t>ハアク</t>
    </rPh>
    <rPh sb="19" eb="21">
      <t>ウンテン</t>
    </rPh>
    <rPh sb="21" eb="23">
      <t>カイシ</t>
    </rPh>
    <rPh sb="23" eb="25">
      <t>ジカン</t>
    </rPh>
    <rPh sb="26" eb="28">
      <t>ミナオ</t>
    </rPh>
    <phoneticPr fontId="2"/>
  </si>
  <si>
    <t>その他設備機器について</t>
    <rPh sb="2" eb="3">
      <t>ホカ</t>
    </rPh>
    <rPh sb="3" eb="5">
      <t>セツビ</t>
    </rPh>
    <rPh sb="5" eb="7">
      <t>キキ</t>
    </rPh>
    <phoneticPr fontId="2"/>
  </si>
  <si>
    <t>ボイラー蒸気や熱源設備の廃熱を有効に管理する（夏季は屋外に排出、冬季は室内に送風など）</t>
    <rPh sb="4" eb="6">
      <t>ジョウキ</t>
    </rPh>
    <rPh sb="7" eb="9">
      <t>ネツゲン</t>
    </rPh>
    <rPh sb="9" eb="11">
      <t>セツビ</t>
    </rPh>
    <rPh sb="12" eb="14">
      <t>ハイネツ</t>
    </rPh>
    <rPh sb="15" eb="17">
      <t>ユウコウ</t>
    </rPh>
    <rPh sb="18" eb="20">
      <t>カンリ</t>
    </rPh>
    <rPh sb="23" eb="25">
      <t>カキ</t>
    </rPh>
    <rPh sb="26" eb="28">
      <t>オクガイ</t>
    </rPh>
    <rPh sb="29" eb="31">
      <t>ハイシュツ</t>
    </rPh>
    <rPh sb="32" eb="34">
      <t>トウキ</t>
    </rPh>
    <rPh sb="35" eb="37">
      <t>シツナイ</t>
    </rPh>
    <rPh sb="38" eb="40">
      <t>ソウフウ</t>
    </rPh>
    <phoneticPr fontId="2"/>
  </si>
  <si>
    <t>コンプレッサーの配管の太さやルートが適切か確認する</t>
    <rPh sb="8" eb="10">
      <t>ハイカン</t>
    </rPh>
    <rPh sb="11" eb="12">
      <t>フト</t>
    </rPh>
    <rPh sb="18" eb="20">
      <t>テキセツ</t>
    </rPh>
    <rPh sb="21" eb="23">
      <t>カクニン</t>
    </rPh>
    <phoneticPr fontId="2"/>
  </si>
  <si>
    <t>蒸気配管の保温対策を行い、ボイラーの負荷を低減する</t>
    <rPh sb="0" eb="2">
      <t>ジョウキ</t>
    </rPh>
    <rPh sb="2" eb="4">
      <t>ハイカン</t>
    </rPh>
    <rPh sb="5" eb="7">
      <t>ホオン</t>
    </rPh>
    <rPh sb="7" eb="9">
      <t>タイサク</t>
    </rPh>
    <rPh sb="10" eb="11">
      <t>オコナ</t>
    </rPh>
    <rPh sb="18" eb="20">
      <t>フカ</t>
    </rPh>
    <rPh sb="21" eb="23">
      <t>テイゲン</t>
    </rPh>
    <phoneticPr fontId="2"/>
  </si>
  <si>
    <t>ノー残業デーなど、残業を減らし早めの照明・空調のスイッチオフに心掛ける</t>
    <phoneticPr fontId="2"/>
  </si>
  <si>
    <t>太陽光発電や風力発電など再生可能エネルギー関連設備を導入する</t>
    <rPh sb="12" eb="14">
      <t>サイセイ</t>
    </rPh>
    <rPh sb="14" eb="16">
      <t>カノウ</t>
    </rPh>
    <rPh sb="21" eb="23">
      <t>カンレン</t>
    </rPh>
    <rPh sb="23" eb="25">
      <t>セツビ</t>
    </rPh>
    <phoneticPr fontId="2"/>
  </si>
  <si>
    <t>専門家による省エネ診断を受診する</t>
    <rPh sb="0" eb="3">
      <t>センモンカ</t>
    </rPh>
    <rPh sb="6" eb="7">
      <t>ショウ</t>
    </rPh>
    <rPh sb="9" eb="11">
      <t>シンダン</t>
    </rPh>
    <rPh sb="12" eb="14">
      <t>ジュシン</t>
    </rPh>
    <phoneticPr fontId="2"/>
  </si>
  <si>
    <t>生産活動での廃棄物の発生抑制に取り組む</t>
    <rPh sb="0" eb="2">
      <t>セイサン</t>
    </rPh>
    <rPh sb="2" eb="4">
      <t>カツドウ</t>
    </rPh>
    <phoneticPr fontId="2"/>
  </si>
  <si>
    <t>その他、廃棄物の削減やリサイクルの推進に関して取り組んでいる活動をご記入ください</t>
    <rPh sb="4" eb="7">
      <t>ハイキブツ</t>
    </rPh>
    <rPh sb="8" eb="10">
      <t>サクゲン</t>
    </rPh>
    <rPh sb="17" eb="19">
      <t>スイシン</t>
    </rPh>
    <rPh sb="20" eb="21">
      <t>カン</t>
    </rPh>
    <phoneticPr fontId="2"/>
  </si>
  <si>
    <t>生産工程での水利用について効率的な利用に取り組む</t>
  </si>
  <si>
    <t>製品の包装は可能な限り簡素化する</t>
    <phoneticPr fontId="2"/>
  </si>
  <si>
    <t>環境保全型製品などの開発・販売に取り組んでいる</t>
    <phoneticPr fontId="2"/>
  </si>
  <si>
    <t>その他、対外的にアピールできる取組みがあればご記入ください</t>
    <rPh sb="4" eb="7">
      <t>タイガイテキ</t>
    </rPh>
    <rPh sb="15" eb="17">
      <t>トリク</t>
    </rPh>
    <phoneticPr fontId="2"/>
  </si>
  <si>
    <t>液化石油ガス（LPG）</t>
    <phoneticPr fontId="2"/>
  </si>
  <si>
    <t>液化天然ガス（LNG）</t>
    <phoneticPr fontId="2"/>
  </si>
  <si>
    <t>環境省HP：https://www.env.go.jp › local_keikaku › data › keisu_ichiran_202504
資源エネルギー庁：https://www.enecho.meti.go.jp/statistics/total_energy/carbon_2023.html</t>
    <rPh sb="0" eb="3">
      <t>カンキョウショウシゲンチョウ</t>
    </rPh>
    <phoneticPr fontId="2"/>
  </si>
  <si>
    <t>北陸電力HP：https://www.rikuden.co.jp/onshitsukoka/　の2024年の調整後排出係数</t>
    <rPh sb="0" eb="4">
      <t>ホクリクデンリョク</t>
    </rPh>
    <rPh sb="52" eb="53">
      <t>ネン</t>
    </rPh>
    <rPh sb="54" eb="57">
      <t>チョウセイゴ</t>
    </rPh>
    <rPh sb="57" eb="59">
      <t>ハイシュツ</t>
    </rPh>
    <rPh sb="59" eb="61">
      <t>ケイスウ</t>
    </rPh>
    <phoneticPr fontId="2"/>
  </si>
  <si>
    <t>モーターの更新（コンプレッサー等）</t>
    <phoneticPr fontId="25"/>
  </si>
  <si>
    <t>その他産業設備（更新前電気式）の更新</t>
    <rPh sb="2" eb="3">
      <t>タ</t>
    </rPh>
    <rPh sb="3" eb="5">
      <t>サンギョウ</t>
    </rPh>
    <rPh sb="5" eb="7">
      <t>セツビ</t>
    </rPh>
    <rPh sb="8" eb="11">
      <t>コウシンマエ</t>
    </rPh>
    <rPh sb="11" eb="13">
      <t>デンキ</t>
    </rPh>
    <rPh sb="13" eb="14">
      <t>シキ</t>
    </rPh>
    <rPh sb="16" eb="18">
      <t>コウシン</t>
    </rPh>
    <phoneticPr fontId="25"/>
  </si>
  <si>
    <t>その他産業施設（更新前燃料式）の更新</t>
    <rPh sb="2" eb="3">
      <t>タ</t>
    </rPh>
    <rPh sb="3" eb="7">
      <t>サンギョウシセツ</t>
    </rPh>
    <rPh sb="8" eb="11">
      <t>コウシンマエ</t>
    </rPh>
    <rPh sb="11" eb="14">
      <t>ネンリョウシキ</t>
    </rPh>
    <rPh sb="16" eb="18">
      <t>コウシン</t>
    </rPh>
    <phoneticPr fontId="25"/>
  </si>
  <si>
    <t>蓄電池の導入（再エネの活用）</t>
    <rPh sb="0" eb="3">
      <t>チクデンチ</t>
    </rPh>
    <rPh sb="4" eb="6">
      <t>ドウニュウ</t>
    </rPh>
    <rPh sb="7" eb="8">
      <t>サイ</t>
    </rPh>
    <rPh sb="11" eb="13">
      <t>カツヨウ</t>
    </rPh>
    <phoneticPr fontId="25"/>
  </si>
  <si>
    <t>液化石油ガス（LPG）</t>
  </si>
  <si>
    <t>エネルギー使用量(原油換算)</t>
    <rPh sb="9" eb="13">
      <t>ゲンユカンサン</t>
    </rPh>
    <phoneticPr fontId="2"/>
  </si>
  <si>
    <t>事業所全体のCO2排出量</t>
    <rPh sb="0" eb="3">
      <t>ジギョウショ</t>
    </rPh>
    <rPh sb="3" eb="5">
      <t>ゼンタイ</t>
    </rPh>
    <rPh sb="9" eb="12">
      <t>ハイシュツリョウ</t>
    </rPh>
    <phoneticPr fontId="2"/>
  </si>
  <si>
    <t>CO2排出量(試算した設備)</t>
    <rPh sb="3" eb="6">
      <t>ハイシュツリョウ</t>
    </rPh>
    <rPh sb="7" eb="9">
      <t>シサン</t>
    </rPh>
    <rPh sb="11" eb="13">
      <t>セツビ</t>
    </rPh>
    <phoneticPr fontId="2"/>
  </si>
  <si>
    <t>CO2排出量(試算した車両)</t>
    <rPh sb="3" eb="6">
      <t>ハイシュツリョウ</t>
    </rPh>
    <rPh sb="7" eb="9">
      <t>シサン</t>
    </rPh>
    <rPh sb="11" eb="13">
      <t>シャリョウ</t>
    </rPh>
    <phoneticPr fontId="2"/>
  </si>
  <si>
    <t>自動車燃料・電気代</t>
    <rPh sb="0" eb="3">
      <t>ジドウシャ</t>
    </rPh>
    <rPh sb="3" eb="5">
      <t>ネンリョウ</t>
    </rPh>
    <rPh sb="6" eb="8">
      <t>デンキ</t>
    </rPh>
    <rPh sb="8" eb="9">
      <t>ダイ</t>
    </rPh>
    <phoneticPr fontId="2"/>
  </si>
  <si>
    <t>自動車燃料・電気代</t>
    <rPh sb="0" eb="3">
      <t>ジドウシャ</t>
    </rPh>
    <phoneticPr fontId="2"/>
  </si>
  <si>
    <t>導入後</t>
    <rPh sb="0" eb="3">
      <t>ドウニュウゴ</t>
    </rPh>
    <phoneticPr fontId="25"/>
  </si>
  <si>
    <t>年間購入電力量</t>
    <rPh sb="0" eb="2">
      <t>ネンカン</t>
    </rPh>
    <rPh sb="2" eb="4">
      <t>コウニュウ</t>
    </rPh>
    <rPh sb="4" eb="6">
      <t>デンリョク</t>
    </rPh>
    <rPh sb="6" eb="7">
      <t>リョウ</t>
    </rPh>
    <phoneticPr fontId="25"/>
  </si>
  <si>
    <t>導入前</t>
    <rPh sb="0" eb="3">
      <t>ドウニュウマエ</t>
    </rPh>
    <phoneticPr fontId="2"/>
  </si>
  <si>
    <t>削減量</t>
    <rPh sb="0" eb="3">
      <t>サクゲンリョウ</t>
    </rPh>
    <phoneticPr fontId="25"/>
  </si>
  <si>
    <t>※3　NEDO 日射量データベースより</t>
    <phoneticPr fontId="2"/>
  </si>
  <si>
    <t>年間自家消費量</t>
    <rPh sb="0" eb="2">
      <t>ネンカン</t>
    </rPh>
    <rPh sb="2" eb="4">
      <t>ジカ</t>
    </rPh>
    <rPh sb="4" eb="6">
      <t>ショウヒ</t>
    </rPh>
    <rPh sb="6" eb="7">
      <t>リョウ</t>
    </rPh>
    <phoneticPr fontId="2"/>
  </si>
  <si>
    <t>10kW未満</t>
    <rPh sb="4" eb="6">
      <t>ミマン</t>
    </rPh>
    <phoneticPr fontId="2"/>
  </si>
  <si>
    <t>小水力発電設備（新設、既設導水路活用型）の導入</t>
    <rPh sb="0" eb="1">
      <t>ショウ</t>
    </rPh>
    <rPh sb="1" eb="3">
      <t>スイリョク</t>
    </rPh>
    <rPh sb="3" eb="5">
      <t>ハツデン</t>
    </rPh>
    <rPh sb="5" eb="7">
      <t>セツビ</t>
    </rPh>
    <rPh sb="11" eb="12">
      <t>セツ</t>
    </rPh>
    <rPh sb="12" eb="15">
      <t>ドウスイロ</t>
    </rPh>
    <rPh sb="15" eb="18">
      <t>カツヨウガタ</t>
    </rPh>
    <rPh sb="20" eb="22">
      <t>ドウニュウ</t>
    </rPh>
    <phoneticPr fontId="25"/>
  </si>
  <si>
    <t>非FIT時　売電価格</t>
    <rPh sb="0" eb="1">
      <t>ヒ</t>
    </rPh>
    <rPh sb="4" eb="5">
      <t>ジ</t>
    </rPh>
    <rPh sb="6" eb="10">
      <t>バイデンカカク</t>
    </rPh>
    <phoneticPr fontId="2"/>
  </si>
  <si>
    <t>年間自家消費量</t>
    <rPh sb="0" eb="2">
      <t>ネンカン</t>
    </rPh>
    <rPh sb="2" eb="4">
      <t>ジカ</t>
    </rPh>
    <rPh sb="4" eb="7">
      <t>ショウヒリョウ</t>
    </rPh>
    <phoneticPr fontId="2"/>
  </si>
  <si>
    <t>(自家消費量×買電単価)
＋
（余剰発電量×売電単価）</t>
    <rPh sb="1" eb="6">
      <t>ジカショウヒリョウ</t>
    </rPh>
    <rPh sb="7" eb="9">
      <t>カイデン</t>
    </rPh>
    <rPh sb="9" eb="11">
      <t>タンカ</t>
    </rPh>
    <rPh sb="16" eb="21">
      <t>ヨジョウハツデンリョウ</t>
    </rPh>
    <rPh sb="22" eb="24">
      <t>バイデン</t>
    </rPh>
    <rPh sb="24" eb="26">
      <t>タンカ</t>
    </rPh>
    <phoneticPr fontId="2"/>
  </si>
  <si>
    <t>光熱費（自家消費分相当額）</t>
    <rPh sb="4" eb="8">
      <t>ジカショウヒ</t>
    </rPh>
    <rPh sb="8" eb="9">
      <t>ブン</t>
    </rPh>
    <rPh sb="9" eb="11">
      <t>ソウトウ</t>
    </rPh>
    <rPh sb="11" eb="12">
      <t>ガク</t>
    </rPh>
    <phoneticPr fontId="2"/>
  </si>
  <si>
    <t>※光熱費は自家消費量相当額</t>
    <rPh sb="1" eb="4">
      <t>コウネツヒ</t>
    </rPh>
    <rPh sb="5" eb="9">
      <t>ジカショウヒ</t>
    </rPh>
    <rPh sb="9" eb="10">
      <t>リョウ</t>
    </rPh>
    <rPh sb="10" eb="13">
      <t>ソウトウガク</t>
    </rPh>
    <phoneticPr fontId="2"/>
  </si>
  <si>
    <t>年間削減
買電量</t>
    <rPh sb="0" eb="2">
      <t>ネンカン</t>
    </rPh>
    <rPh sb="2" eb="4">
      <t>サクゲン</t>
    </rPh>
    <rPh sb="5" eb="7">
      <t>カイデン</t>
    </rPh>
    <rPh sb="7" eb="8">
      <t>リョウ</t>
    </rPh>
    <phoneticPr fontId="2"/>
  </si>
  <si>
    <t>年間自家発電量（屋根分）</t>
    <rPh sb="0" eb="2">
      <t>ネンカン</t>
    </rPh>
    <rPh sb="2" eb="4">
      <t>ジカ</t>
    </rPh>
    <rPh sb="4" eb="6">
      <t>ハツデン</t>
    </rPh>
    <rPh sb="6" eb="7">
      <t>リョウ</t>
    </rPh>
    <rPh sb="8" eb="10">
      <t>ヤネ</t>
    </rPh>
    <rPh sb="10" eb="11">
      <t>ブン</t>
    </rPh>
    <phoneticPr fontId="2"/>
  </si>
  <si>
    <t>年間自家発電量（地上分）</t>
    <rPh sb="0" eb="2">
      <t>ネンカン</t>
    </rPh>
    <rPh sb="2" eb="4">
      <t>ジカ</t>
    </rPh>
    <rPh sb="4" eb="6">
      <t>ハツデン</t>
    </rPh>
    <rPh sb="6" eb="7">
      <t>リョウ</t>
    </rPh>
    <rPh sb="8" eb="10">
      <t>チジョウ</t>
    </rPh>
    <rPh sb="10" eb="11">
      <t>ブン</t>
    </rPh>
    <phoneticPr fontId="2"/>
  </si>
  <si>
    <t>総年間自家発電量</t>
    <rPh sb="0" eb="1">
      <t>ソウ</t>
    </rPh>
    <rPh sb="1" eb="3">
      <t>ネンカン</t>
    </rPh>
    <rPh sb="3" eb="5">
      <t>ジカ</t>
    </rPh>
    <rPh sb="5" eb="7">
      <t>ハツデン</t>
    </rPh>
    <rPh sb="7" eb="8">
      <t>リョウ</t>
    </rPh>
    <phoneticPr fontId="2"/>
  </si>
  <si>
    <t>年間余剰発電量（屋根分）</t>
    <rPh sb="0" eb="2">
      <t>ネンカン</t>
    </rPh>
    <rPh sb="2" eb="4">
      <t>ヨジョウ</t>
    </rPh>
    <rPh sb="4" eb="6">
      <t>ハツデン</t>
    </rPh>
    <rPh sb="6" eb="7">
      <t>リョウ</t>
    </rPh>
    <rPh sb="8" eb="10">
      <t>ヤネ</t>
    </rPh>
    <rPh sb="10" eb="11">
      <t>ブン</t>
    </rPh>
    <phoneticPr fontId="2"/>
  </si>
  <si>
    <t>年間余剰発電量（地上分）</t>
    <rPh sb="0" eb="2">
      <t>ネンカン</t>
    </rPh>
    <rPh sb="2" eb="4">
      <t>ヨジョウ</t>
    </rPh>
    <rPh sb="4" eb="6">
      <t>ハツデン</t>
    </rPh>
    <rPh sb="6" eb="7">
      <t>リョウ</t>
    </rPh>
    <rPh sb="8" eb="10">
      <t>チジョウ</t>
    </rPh>
    <rPh sb="10" eb="11">
      <t>ブン</t>
    </rPh>
    <phoneticPr fontId="2"/>
  </si>
  <si>
    <t>地上のみの場合</t>
    <rPh sb="0" eb="2">
      <t>チジョウ</t>
    </rPh>
    <rPh sb="5" eb="7">
      <t>バアイ</t>
    </rPh>
    <phoneticPr fontId="2"/>
  </si>
  <si>
    <t>屋根のみの場合</t>
    <rPh sb="0" eb="2">
      <t>ヤネ</t>
    </rPh>
    <rPh sb="5" eb="7">
      <t>バアイ</t>
    </rPh>
    <phoneticPr fontId="2"/>
  </si>
  <si>
    <t>両者混在の場合</t>
    <rPh sb="0" eb="2">
      <t>リョウシャ</t>
    </rPh>
    <rPh sb="2" eb="4">
      <t>コンザイ</t>
    </rPh>
    <rPh sb="5" eb="7">
      <t>バアイ</t>
    </rPh>
    <phoneticPr fontId="2"/>
  </si>
  <si>
    <t>総年間余剰発電量</t>
    <rPh sb="0" eb="1">
      <t>ソウ</t>
    </rPh>
    <rPh sb="1" eb="3">
      <t>ネンカン</t>
    </rPh>
    <rPh sb="3" eb="5">
      <t>ヨジョウ</t>
    </rPh>
    <rPh sb="5" eb="7">
      <t>ハツデン</t>
    </rPh>
    <rPh sb="7" eb="8">
      <t>リョウ</t>
    </rPh>
    <phoneticPr fontId="2"/>
  </si>
  <si>
    <t>年間自家発電量（新設分）</t>
    <rPh sb="0" eb="2">
      <t>ネンカン</t>
    </rPh>
    <rPh sb="2" eb="4">
      <t>ジカ</t>
    </rPh>
    <rPh sb="4" eb="6">
      <t>ハツデン</t>
    </rPh>
    <rPh sb="6" eb="7">
      <t>リョウ</t>
    </rPh>
    <rPh sb="8" eb="11">
      <t>シンセツブン</t>
    </rPh>
    <phoneticPr fontId="2"/>
  </si>
  <si>
    <t>年間自家発電量（既設導水路活用型分）</t>
    <rPh sb="0" eb="2">
      <t>ネンカン</t>
    </rPh>
    <rPh sb="2" eb="4">
      <t>ジカ</t>
    </rPh>
    <rPh sb="4" eb="6">
      <t>ハツデン</t>
    </rPh>
    <rPh sb="6" eb="7">
      <t>リョウ</t>
    </rPh>
    <rPh sb="8" eb="13">
      <t>キセツドウスイロ</t>
    </rPh>
    <rPh sb="13" eb="16">
      <t>カツヨウガタ</t>
    </rPh>
    <rPh sb="16" eb="17">
      <t>ブン</t>
    </rPh>
    <phoneticPr fontId="2"/>
  </si>
  <si>
    <t>年間余剰発電量（新設分）</t>
    <rPh sb="0" eb="2">
      <t>ネンカン</t>
    </rPh>
    <rPh sb="2" eb="4">
      <t>ヨジョウ</t>
    </rPh>
    <rPh sb="4" eb="6">
      <t>ハツデン</t>
    </rPh>
    <rPh sb="6" eb="7">
      <t>リョウ</t>
    </rPh>
    <rPh sb="8" eb="11">
      <t>シンセツブン</t>
    </rPh>
    <phoneticPr fontId="2"/>
  </si>
  <si>
    <t>年間余剰発電量（既設導水路活用型分）</t>
    <rPh sb="0" eb="2">
      <t>ネンカン</t>
    </rPh>
    <rPh sb="2" eb="4">
      <t>ヨジョウ</t>
    </rPh>
    <rPh sb="4" eb="6">
      <t>ハツデン</t>
    </rPh>
    <rPh sb="6" eb="7">
      <t>リョウ</t>
    </rPh>
    <rPh sb="8" eb="13">
      <t>キセツドウスイロ</t>
    </rPh>
    <rPh sb="13" eb="16">
      <t>カツヨウガタ</t>
    </rPh>
    <rPh sb="16" eb="17">
      <t>ブン</t>
    </rPh>
    <phoneticPr fontId="2"/>
  </si>
  <si>
    <t>定格時
燃料消費量※</t>
    <rPh sb="0" eb="3">
      <t>テイカクジ</t>
    </rPh>
    <rPh sb="4" eb="9">
      <t>ネンリョウショウヒリョウ</t>
    </rPh>
    <phoneticPr fontId="2"/>
  </si>
  <si>
    <t>年間燃料費</t>
    <rPh sb="2" eb="4">
      <t>ネンリョウ</t>
    </rPh>
    <phoneticPr fontId="2"/>
  </si>
  <si>
    <t>CO2
排出量</t>
    <rPh sb="4" eb="7">
      <t>ハイシュツリョウ</t>
    </rPh>
    <phoneticPr fontId="25"/>
  </si>
  <si>
    <t>その他燃料式</t>
    <rPh sb="2" eb="3">
      <t>タ</t>
    </rPh>
    <rPh sb="3" eb="6">
      <t>ネンリョウシキ</t>
    </rPh>
    <phoneticPr fontId="25"/>
  </si>
  <si>
    <t>その他燃料</t>
  </si>
  <si>
    <t>燃料単価</t>
    <phoneticPr fontId="25"/>
  </si>
  <si>
    <t>円/L</t>
    <phoneticPr fontId="25"/>
  </si>
  <si>
    <t>液化石油ガス（LNG）</t>
    <phoneticPr fontId="2"/>
  </si>
  <si>
    <t>総CO2
排出量</t>
    <rPh sb="0" eb="1">
      <t>ソウ</t>
    </rPh>
    <rPh sb="5" eb="8">
      <t>ハイシュツリョウ</t>
    </rPh>
    <phoneticPr fontId="25"/>
  </si>
  <si>
    <t>削減量</t>
    <rPh sb="0" eb="3">
      <t>サクゲンリョウ</t>
    </rPh>
    <phoneticPr fontId="25"/>
  </si>
  <si>
    <t>液化石油ガス</t>
  </si>
  <si>
    <t>給湯器（ヒートポンプ）</t>
    <phoneticPr fontId="2"/>
  </si>
  <si>
    <t>可</t>
  </si>
  <si>
    <t>FIT買取価格
(売電価格)</t>
    <rPh sb="3" eb="7">
      <t>カイトリカカク</t>
    </rPh>
    <rPh sb="9" eb="13">
      <t>バイデンカカク</t>
    </rPh>
    <phoneticPr fontId="2"/>
  </si>
  <si>
    <t>システム
容量</t>
    <rPh sb="5" eb="7">
      <t>ヨウリョウ</t>
    </rPh>
    <phoneticPr fontId="2"/>
  </si>
  <si>
    <t>A社</t>
    <rPh sb="1" eb="2">
      <t>シャ</t>
    </rPh>
    <phoneticPr fontId="2"/>
  </si>
  <si>
    <t>B社</t>
    <rPh sb="1" eb="2">
      <t>シャ</t>
    </rPh>
    <phoneticPr fontId="2"/>
  </si>
  <si>
    <t>太陽光発電　FIT買取価格（2025年度当初が初期値）</t>
    <rPh sb="0" eb="5">
      <t>タイヨウコウハツデン</t>
    </rPh>
    <rPh sb="9" eb="13">
      <t>カイトリカカク</t>
    </rPh>
    <rPh sb="18" eb="20">
      <t>ネンド</t>
    </rPh>
    <rPh sb="20" eb="22">
      <t>トウショ</t>
    </rPh>
    <rPh sb="23" eb="26">
      <t>ショキチ</t>
    </rPh>
    <phoneticPr fontId="2"/>
  </si>
  <si>
    <t>L1200</t>
    <phoneticPr fontId="2"/>
  </si>
  <si>
    <t>kg-CO₂/年</t>
    <rPh sb="7" eb="8">
      <t>ネン</t>
    </rPh>
    <phoneticPr fontId="2"/>
  </si>
  <si>
    <t>コンプレッサーA</t>
  </si>
  <si>
    <t/>
  </si>
  <si>
    <t>コンプレッサー1</t>
  </si>
  <si>
    <t>更新後
改善係数</t>
    <rPh sb="0" eb="3">
      <t>コウシンゴ</t>
    </rPh>
    <rPh sb="4" eb="6">
      <t>カイゼン</t>
    </rPh>
    <rPh sb="6" eb="8">
      <t>ケイスウ</t>
    </rPh>
    <phoneticPr fontId="25"/>
  </si>
  <si>
    <t>利用場所での必要最低圧力を確認し、コンプレッサーの供給圧力を適正に設定する</t>
    <rPh sb="0" eb="2">
      <t>リヨウ</t>
    </rPh>
    <rPh sb="2" eb="4">
      <t>バショ</t>
    </rPh>
    <rPh sb="6" eb="8">
      <t>ヒツヨウ</t>
    </rPh>
    <rPh sb="8" eb="10">
      <t>サイテイ</t>
    </rPh>
    <rPh sb="10" eb="12">
      <t>アツリョク</t>
    </rPh>
    <rPh sb="13" eb="15">
      <t>カクニン</t>
    </rPh>
    <rPh sb="25" eb="27">
      <t>キョウキュウ</t>
    </rPh>
    <rPh sb="27" eb="29">
      <t>アツリョク</t>
    </rPh>
    <rPh sb="30" eb="32">
      <t>テキセイ</t>
    </rPh>
    <rPh sb="33" eb="35">
      <t>セッテイ</t>
    </rPh>
    <phoneticPr fontId="2"/>
  </si>
  <si>
    <t>１）自動車の更新</t>
    <rPh sb="2" eb="5">
      <t>ジドウシャ</t>
    </rPh>
    <rPh sb="6" eb="8">
      <t>コウシン</t>
    </rPh>
    <phoneticPr fontId="2"/>
  </si>
  <si>
    <t>２）照明の更新</t>
    <rPh sb="2" eb="4">
      <t>ショウメイ</t>
    </rPh>
    <rPh sb="5" eb="7">
      <t>コウシン</t>
    </rPh>
    <phoneticPr fontId="2"/>
  </si>
  <si>
    <t>３）空調設備（電気）の更新</t>
    <rPh sb="2" eb="4">
      <t>クウチョウ</t>
    </rPh>
    <rPh sb="4" eb="6">
      <t>セツビ</t>
    </rPh>
    <rPh sb="7" eb="9">
      <t>デンキ</t>
    </rPh>
    <rPh sb="11" eb="13">
      <t>コウシン</t>
    </rPh>
    <phoneticPr fontId="2"/>
  </si>
  <si>
    <t>４）空調設備（GHP）の更新</t>
    <rPh sb="2" eb="4">
      <t>クウチョウ</t>
    </rPh>
    <rPh sb="4" eb="6">
      <t>セツビ</t>
    </rPh>
    <rPh sb="12" eb="14">
      <t>コウシン</t>
    </rPh>
    <phoneticPr fontId="2"/>
  </si>
  <si>
    <t>５）ボイラー・給湯器の更新</t>
    <rPh sb="11" eb="13">
      <t>コウシン</t>
    </rPh>
    <phoneticPr fontId="5"/>
  </si>
  <si>
    <t>６）モーター更新（コンプレッサー等）</t>
    <phoneticPr fontId="2"/>
  </si>
  <si>
    <t>７）変圧器の更新</t>
    <rPh sb="2" eb="5">
      <t>ヘンアツキ</t>
    </rPh>
    <rPh sb="6" eb="8">
      <t>コウシン</t>
    </rPh>
    <phoneticPr fontId="25"/>
  </si>
  <si>
    <t>８）冷凍庫・冷蔵庫の更新</t>
    <rPh sb="2" eb="5">
      <t>レイトウコ</t>
    </rPh>
    <rPh sb="6" eb="9">
      <t>レイゾウコ</t>
    </rPh>
    <phoneticPr fontId="5"/>
  </si>
  <si>
    <t>９）太陽光発電設備の導入</t>
    <rPh sb="2" eb="5">
      <t>タイヨウコウ</t>
    </rPh>
    <rPh sb="5" eb="7">
      <t>ハツデン</t>
    </rPh>
    <rPh sb="7" eb="9">
      <t>セツビ</t>
    </rPh>
    <rPh sb="10" eb="12">
      <t>ドウニュウ</t>
    </rPh>
    <phoneticPr fontId="25"/>
  </si>
  <si>
    <t>10）小水力発電施設（新設、既設導水路活用型）の導入</t>
    <rPh sb="3" eb="4">
      <t>ショウ</t>
    </rPh>
    <rPh sb="4" eb="6">
      <t>スイリョク</t>
    </rPh>
    <rPh sb="6" eb="8">
      <t>ハツデン</t>
    </rPh>
    <rPh sb="8" eb="10">
      <t>シセツ</t>
    </rPh>
    <rPh sb="11" eb="13">
      <t>シンセツ</t>
    </rPh>
    <rPh sb="14" eb="19">
      <t>キセツドウスイロ</t>
    </rPh>
    <rPh sb="19" eb="22">
      <t>カツヨウガタ</t>
    </rPh>
    <rPh sb="24" eb="26">
      <t>ドウニュウ</t>
    </rPh>
    <phoneticPr fontId="25"/>
  </si>
  <si>
    <t>11）蓄電池の導入</t>
    <rPh sb="3" eb="6">
      <t>チクデンチ</t>
    </rPh>
    <rPh sb="7" eb="9">
      <t>ドウニュウ</t>
    </rPh>
    <phoneticPr fontId="25"/>
  </si>
  <si>
    <t>12）産業施設（更新前燃料式）の更新</t>
    <rPh sb="3" eb="7">
      <t>サンギョウシセツ</t>
    </rPh>
    <rPh sb="8" eb="11">
      <t>コウシンマエ</t>
    </rPh>
    <rPh sb="11" eb="14">
      <t>ネンリョウシキ</t>
    </rPh>
    <rPh sb="16" eb="18">
      <t>コウシン</t>
    </rPh>
    <phoneticPr fontId="25"/>
  </si>
  <si>
    <t>13）産業施設（更新前電気式）の更新</t>
    <phoneticPr fontId="2"/>
  </si>
  <si>
    <t>※　ここで算出される単価は試算上の参考数値です</t>
    <rPh sb="5" eb="7">
      <t>サンシュツ</t>
    </rPh>
    <rPh sb="10" eb="12">
      <t>タンカ</t>
    </rPh>
    <rPh sb="13" eb="16">
      <t>シサンジョウ</t>
    </rPh>
    <rPh sb="17" eb="21">
      <t>サンコウスウチ</t>
    </rPh>
    <phoneticPr fontId="2"/>
  </si>
  <si>
    <t>１）自動車</t>
    <rPh sb="2" eb="5">
      <t>ジドウシャ</t>
    </rPh>
    <phoneticPr fontId="2"/>
  </si>
  <si>
    <t>２）照明</t>
    <rPh sb="2" eb="4">
      <t>ショウメイ</t>
    </rPh>
    <phoneticPr fontId="2"/>
  </si>
  <si>
    <t>３）空調（電気）</t>
    <phoneticPr fontId="2"/>
  </si>
  <si>
    <t>４）空調（GHP）</t>
    <rPh sb="2" eb="4">
      <t>クウチョウ</t>
    </rPh>
    <phoneticPr fontId="2"/>
  </si>
  <si>
    <t>５）ボイラー・給湯器</t>
    <phoneticPr fontId="2"/>
  </si>
  <si>
    <t>６）モーター</t>
    <phoneticPr fontId="2"/>
  </si>
  <si>
    <t>７）変圧器</t>
    <rPh sb="2" eb="5">
      <t>ヘンアツキ</t>
    </rPh>
    <phoneticPr fontId="2"/>
  </si>
  <si>
    <t>８）冷凍庫・冷蔵庫</t>
    <rPh sb="2" eb="5">
      <t>レイトウコ</t>
    </rPh>
    <rPh sb="6" eb="9">
      <t>レイゾウコ</t>
    </rPh>
    <phoneticPr fontId="2"/>
  </si>
  <si>
    <t>９）太陽光</t>
    <rPh sb="2" eb="5">
      <t>タイヨウコウ</t>
    </rPh>
    <phoneticPr fontId="2"/>
  </si>
  <si>
    <t>10）小水力</t>
    <rPh sb="3" eb="6">
      <t>ショウスイリョク</t>
    </rPh>
    <phoneticPr fontId="2"/>
  </si>
  <si>
    <t>11）蓄電池</t>
    <rPh sb="3" eb="6">
      <t>チクデンチ</t>
    </rPh>
    <phoneticPr fontId="2"/>
  </si>
  <si>
    <t>12）その他産業設備（更新前燃料式）</t>
    <rPh sb="5" eb="6">
      <t>タ</t>
    </rPh>
    <rPh sb="6" eb="8">
      <t>サンギョウ</t>
    </rPh>
    <rPh sb="8" eb="10">
      <t>セツビ</t>
    </rPh>
    <rPh sb="11" eb="14">
      <t>コウシンマエ</t>
    </rPh>
    <rPh sb="14" eb="17">
      <t>ネンリョウシキ</t>
    </rPh>
    <phoneticPr fontId="2"/>
  </si>
  <si>
    <t>13）その他産業設備（更新前電気式）</t>
    <rPh sb="5" eb="6">
      <t>タ</t>
    </rPh>
    <rPh sb="6" eb="8">
      <t>サンギョウ</t>
    </rPh>
    <rPh sb="8" eb="10">
      <t>セツビ</t>
    </rPh>
    <rPh sb="11" eb="14">
      <t>コウシンマエ</t>
    </rPh>
    <rPh sb="14" eb="16">
      <t>デンキ</t>
    </rPh>
    <rPh sb="16" eb="17">
      <t>シキ</t>
    </rPh>
    <phoneticPr fontId="2"/>
  </si>
  <si>
    <t>AAA1</t>
  </si>
  <si>
    <t>AAA1</t>
    <phoneticPr fontId="2"/>
  </si>
  <si>
    <t>BBB1</t>
    <phoneticPr fontId="2"/>
  </si>
  <si>
    <t>aaa</t>
  </si>
  <si>
    <t>AAB</t>
  </si>
  <si>
    <t>BBC</t>
    <phoneticPr fontId="2"/>
  </si>
  <si>
    <t>AAA</t>
  </si>
  <si>
    <t>【結果】　簡易診断シート</t>
    <rPh sb="5" eb="9">
      <t>カンイシンダン</t>
    </rPh>
    <phoneticPr fontId="25"/>
  </si>
  <si>
    <t>簡易診断シートについて</t>
    <rPh sb="0" eb="4">
      <t>カンイシンダン</t>
    </rPh>
    <phoneticPr fontId="2"/>
  </si>
  <si>
    <t>設備ごとのシートの入力方法</t>
    <rPh sb="0" eb="2">
      <t>セツビ</t>
    </rPh>
    <rPh sb="9" eb="13">
      <t>ニュウリョクホウホウ</t>
    </rPh>
    <phoneticPr fontId="2"/>
  </si>
  <si>
    <t>エネルギー使用量</t>
    <rPh sb="5" eb="8">
      <t>シヨウリョウ</t>
    </rPh>
    <phoneticPr fontId="2"/>
  </si>
  <si>
    <t>二酸化炭素排出量の合計</t>
    <rPh sb="0" eb="3">
      <t>ニサンカ</t>
    </rPh>
    <rPh sb="3" eb="5">
      <t>タンソ</t>
    </rPh>
    <rPh sb="5" eb="8">
      <t>ハイシュツリョウ</t>
    </rPh>
    <rPh sb="9" eb="11">
      <t>ゴウケイ</t>
    </rPh>
    <phoneticPr fontId="2"/>
  </si>
  <si>
    <t>二酸化炭素排出量</t>
    <rPh sb="0" eb="3">
      <t>ニサンカ</t>
    </rPh>
    <rPh sb="3" eb="5">
      <t>タンソ</t>
    </rPh>
    <rPh sb="5" eb="7">
      <t>ハイシュツ</t>
    </rPh>
    <rPh sb="7" eb="8">
      <t>リョウ</t>
    </rPh>
    <phoneticPr fontId="2"/>
  </si>
  <si>
    <t>原単位</t>
    <rPh sb="0" eb="3">
      <t>ゲンタンイ</t>
    </rPh>
    <phoneticPr fontId="2"/>
  </si>
  <si>
    <t>①</t>
    <phoneticPr fontId="2"/>
  </si>
  <si>
    <t>②</t>
    <phoneticPr fontId="2"/>
  </si>
  <si>
    <r>
      <t>二酸化炭素排出量
(kg-CO</t>
    </r>
    <r>
      <rPr>
        <vertAlign val="subscript"/>
        <sz val="14"/>
        <color theme="1"/>
        <rFont val="HG丸ｺﾞｼｯｸM-PRO"/>
        <family val="3"/>
        <charset val="128"/>
      </rPr>
      <t>2</t>
    </r>
    <r>
      <rPr>
        <sz val="14"/>
        <color theme="1"/>
        <rFont val="HG丸ｺﾞｼｯｸM-PRO"/>
        <family val="3"/>
        <charset val="128"/>
      </rPr>
      <t>)</t>
    </r>
    <rPh sb="0" eb="5">
      <t>ニサンカタンソ</t>
    </rPh>
    <rPh sb="5" eb="8">
      <t>ハイシュツリョウ</t>
    </rPh>
    <phoneticPr fontId="2"/>
  </si>
  <si>
    <t>自動車
燃料</t>
    <rPh sb="0" eb="3">
      <t>ジドウシャ</t>
    </rPh>
    <rPh sb="4" eb="6">
      <t>ネンリョウ</t>
    </rPh>
    <phoneticPr fontId="2"/>
  </si>
  <si>
    <t>（直近１年間）</t>
    <rPh sb="1" eb="3">
      <t>チョッキン</t>
    </rPh>
    <rPh sb="4" eb="6">
      <t>ネンカン</t>
    </rPh>
    <phoneticPr fontId="2"/>
  </si>
  <si>
    <t>（前年１年間）</t>
    <rPh sb="1" eb="3">
      <t>ゼンネン</t>
    </rPh>
    <rPh sb="4" eb="6">
      <t>ネンカン</t>
    </rPh>
    <phoneticPr fontId="2"/>
  </si>
  <si>
    <t>① エネルギー使用量の入力表</t>
    <rPh sb="7" eb="10">
      <t>シヨウリョウ</t>
    </rPh>
    <rPh sb="11" eb="13">
      <t>ニュウリョク</t>
    </rPh>
    <rPh sb="13" eb="14">
      <t>ヒョウ</t>
    </rPh>
    <phoneticPr fontId="2"/>
  </si>
  <si>
    <t>実績表１　事業所の概要</t>
    <rPh sb="0" eb="2">
      <t>ジッセキ</t>
    </rPh>
    <rPh sb="2" eb="3">
      <t>ヒョウ</t>
    </rPh>
    <rPh sb="5" eb="7">
      <t>ジギョウ</t>
    </rPh>
    <rPh sb="7" eb="8">
      <t>ショ</t>
    </rPh>
    <rPh sb="9" eb="11">
      <t>ガイヨウ</t>
    </rPh>
    <phoneticPr fontId="2"/>
  </si>
  <si>
    <t>※原単位とは、事業所の活動規模を表す代表的な指標のことです。
　実績表２～５において原単位あたりの排出量を計算し、エネルギー効率や利用効率を把握することが可能です。
※代表的な原単位として「従業員数」と「売上高」がありますが、それぞれの事業所で自由に指標を記入してください。</t>
    <rPh sb="1" eb="4">
      <t>ゲンタンイ</t>
    </rPh>
    <rPh sb="32" eb="34">
      <t>ジッセキ</t>
    </rPh>
    <rPh sb="34" eb="35">
      <t>ヒョウ</t>
    </rPh>
    <rPh sb="53" eb="55">
      <t>ケイサン</t>
    </rPh>
    <rPh sb="122" eb="124">
      <t>ジユウ</t>
    </rPh>
    <rPh sb="128" eb="130">
      <t>キニュウ</t>
    </rPh>
    <phoneticPr fontId="2"/>
  </si>
  <si>
    <t>実績表３　事業系一般廃棄物の排出量とリサイクル率</t>
    <rPh sb="0" eb="2">
      <t>ジッセキ</t>
    </rPh>
    <rPh sb="2" eb="3">
      <t>ヒョウ</t>
    </rPh>
    <rPh sb="5" eb="7">
      <t>ジギョウ</t>
    </rPh>
    <rPh sb="7" eb="8">
      <t>ケイ</t>
    </rPh>
    <rPh sb="8" eb="10">
      <t>イッパン</t>
    </rPh>
    <rPh sb="10" eb="13">
      <t>ハイキブツ</t>
    </rPh>
    <rPh sb="14" eb="16">
      <t>ハイシュツ</t>
    </rPh>
    <rPh sb="16" eb="17">
      <t>リョウ</t>
    </rPh>
    <rPh sb="23" eb="24">
      <t>リツ</t>
    </rPh>
    <phoneticPr fontId="2"/>
  </si>
  <si>
    <t>実績表４　産業廃棄物の排出量とリサイクル率</t>
    <rPh sb="0" eb="2">
      <t>ジッセキ</t>
    </rPh>
    <rPh sb="2" eb="3">
      <t>ヒョウ</t>
    </rPh>
    <rPh sb="5" eb="7">
      <t>サンギョウ</t>
    </rPh>
    <rPh sb="7" eb="10">
      <t>ハイキブツ</t>
    </rPh>
    <rPh sb="11" eb="13">
      <t>ハイシュツ</t>
    </rPh>
    <rPh sb="13" eb="14">
      <t>リョウ</t>
    </rPh>
    <rPh sb="20" eb="21">
      <t>リツ</t>
    </rPh>
    <phoneticPr fontId="2"/>
  </si>
  <si>
    <t>※２年分の実績を記入（新規登録の場合は右側の欄に直近１年分の実績を記入）
※単位は事業所の規模に合わせてご自由に変更ください</t>
    <rPh sb="2" eb="4">
      <t>ネンブン</t>
    </rPh>
    <rPh sb="5" eb="7">
      <t>ジッセキ</t>
    </rPh>
    <rPh sb="8" eb="10">
      <t>キニュウ</t>
    </rPh>
    <rPh sb="11" eb="13">
      <t>シンキ</t>
    </rPh>
    <rPh sb="13" eb="15">
      <t>トウロク</t>
    </rPh>
    <rPh sb="16" eb="18">
      <t>バアイ</t>
    </rPh>
    <rPh sb="19" eb="21">
      <t>ミギガワ</t>
    </rPh>
    <rPh sb="22" eb="23">
      <t>ラン</t>
    </rPh>
    <rPh sb="24" eb="26">
      <t>チョッキン</t>
    </rPh>
    <rPh sb="27" eb="28">
      <t>ネン</t>
    </rPh>
    <rPh sb="28" eb="29">
      <t>ブン</t>
    </rPh>
    <rPh sb="30" eb="32">
      <t>ジッセキ</t>
    </rPh>
    <rPh sb="33" eb="35">
      <t>キニュウ</t>
    </rPh>
    <rPh sb="38" eb="40">
      <t>タンイ</t>
    </rPh>
    <rPh sb="41" eb="44">
      <t>ジギョウショ</t>
    </rPh>
    <rPh sb="45" eb="47">
      <t>キボ</t>
    </rPh>
    <rPh sb="48" eb="49">
      <t>ア</t>
    </rPh>
    <rPh sb="53" eb="55">
      <t>ジユウ</t>
    </rPh>
    <rPh sb="56" eb="58">
      <t>ヘンコウ</t>
    </rPh>
    <phoneticPr fontId="2"/>
  </si>
  <si>
    <t>※２年分の実績を記入（新規登録の場合は右側の欄に直近１年分の実績を記入）</t>
    <phoneticPr fontId="2"/>
  </si>
  <si>
    <t>※活動規模単位当たりの排出量は、実績表１で記入した原単位で総量を割った値を算出しています。</t>
    <rPh sb="11" eb="13">
      <t>ハイシュツ</t>
    </rPh>
    <rPh sb="16" eb="18">
      <t>ジッセキ</t>
    </rPh>
    <rPh sb="37" eb="39">
      <t>サンシュツ</t>
    </rPh>
    <phoneticPr fontId="2"/>
  </si>
  <si>
    <t>※活動規模単位当たりの排出量は、実績表１で記入した原単位で総量を割った値を算出しています。</t>
    <phoneticPr fontId="2"/>
  </si>
  <si>
    <t>実績表５　資源の利用量</t>
    <rPh sb="0" eb="2">
      <t>ジッセキ</t>
    </rPh>
    <rPh sb="2" eb="3">
      <t>ヒョウ</t>
    </rPh>
    <rPh sb="5" eb="7">
      <t>シゲン</t>
    </rPh>
    <rPh sb="8" eb="10">
      <t>リヨウ</t>
    </rPh>
    <rPh sb="10" eb="11">
      <t>リョウ</t>
    </rPh>
    <phoneticPr fontId="2"/>
  </si>
  <si>
    <t>あくまで簡易の試算です。 シートの活用が難しい設備を検討する際や、より詳細な効果を知り
たい場合には、専門家による省エネ診断を受診したり、メーカー等へ相談するなどしてください。</t>
    <phoneticPr fontId="2"/>
  </si>
  <si>
    <t>本環境ISOの「二酸化炭素排出量 可視化シート」を取組の評価や見直し等に活用する</t>
    <rPh sb="0" eb="1">
      <t>ホン</t>
    </rPh>
    <rPh sb="1" eb="3">
      <t>カンキョウ</t>
    </rPh>
    <rPh sb="8" eb="13">
      <t>ニサンカタンソ</t>
    </rPh>
    <rPh sb="13" eb="16">
      <t>ハイシュツリョウ</t>
    </rPh>
    <rPh sb="17" eb="20">
      <t>カシカ</t>
    </rPh>
    <rPh sb="25" eb="27">
      <t>トリクミ</t>
    </rPh>
    <rPh sb="28" eb="30">
      <t>ヒョウカ</t>
    </rPh>
    <rPh sb="31" eb="33">
      <t>ミナオ</t>
    </rPh>
    <rPh sb="34" eb="35">
      <t>トウ</t>
    </rPh>
    <rPh sb="36" eb="38">
      <t>カツヨウ</t>
    </rPh>
    <phoneticPr fontId="2"/>
  </si>
  <si>
    <t>本環境ISOの「簡易診断シート」の機能を活用する</t>
    <rPh sb="8" eb="12">
      <t>カンイシンダン</t>
    </rPh>
    <rPh sb="17" eb="19">
      <t>キノウ</t>
    </rPh>
    <rPh sb="20" eb="22">
      <t>カツヨウ</t>
    </rPh>
    <phoneticPr fontId="2"/>
  </si>
  <si>
    <t>実績表２　二酸化炭素の排出量</t>
    <rPh sb="0" eb="2">
      <t>ジッセキ</t>
    </rPh>
    <rPh sb="2" eb="3">
      <t>ヒョウ</t>
    </rPh>
    <rPh sb="5" eb="10">
      <t>ニサンカタンソ</t>
    </rPh>
    <rPh sb="11" eb="14">
      <t>ハイシュツリョウ</t>
    </rPh>
    <phoneticPr fontId="2"/>
  </si>
  <si>
    <t>② 二酸化炭素の排出量の出力表</t>
    <rPh sb="2" eb="7">
      <t>ニサンカタンソ</t>
    </rPh>
    <rPh sb="8" eb="11">
      <t>ハイシュツリョウ</t>
    </rPh>
    <rPh sb="12" eb="14">
      <t>シュツリョク</t>
    </rPh>
    <rPh sb="14" eb="15">
      <t>ヒョウ</t>
    </rPh>
    <phoneticPr fontId="2"/>
  </si>
  <si>
    <t>二酸化炭素排出量のエネルギー種別の構成比</t>
    <rPh sb="0" eb="5">
      <t>ニサンカタンソ</t>
    </rPh>
    <rPh sb="5" eb="8">
      <t>ハイシュツリョウ</t>
    </rPh>
    <rPh sb="14" eb="16">
      <t>シュベツ</t>
    </rPh>
    <rPh sb="17" eb="20">
      <t>コウセイヒ</t>
    </rPh>
    <phoneticPr fontId="2"/>
  </si>
  <si>
    <t>年商（最新年度）</t>
    <rPh sb="0" eb="1">
      <t>ネン</t>
    </rPh>
    <rPh sb="1" eb="2">
      <t>ショウ</t>
    </rPh>
    <rPh sb="3" eb="5">
      <t>サイシン</t>
    </rPh>
    <rPh sb="5" eb="7">
      <t>ネンド</t>
    </rPh>
    <phoneticPr fontId="2"/>
  </si>
  <si>
    <t>abcde</t>
    <phoneticPr fontId="25"/>
  </si>
  <si>
    <t>AAA</t>
    <phoneticPr fontId="25"/>
  </si>
  <si>
    <t>BBB</t>
    <phoneticPr fontId="25"/>
  </si>
  <si>
    <t>高効率</t>
  </si>
  <si>
    <t>プレミアム効率</t>
  </si>
  <si>
    <t>実績表2で集計の無いLNGのみ使用量入力（単位：㎥）</t>
    <rPh sb="0" eb="3">
      <t>ジッセキヒョウ</t>
    </rPh>
    <rPh sb="5" eb="7">
      <t>シュウケイ</t>
    </rPh>
    <rPh sb="8" eb="9">
      <t>ナ</t>
    </rPh>
    <rPh sb="15" eb="18">
      <t>シヨウリョウ</t>
    </rPh>
    <rPh sb="18" eb="20">
      <t>ニュウリョク</t>
    </rPh>
    <rPh sb="21" eb="23">
      <t>タンイ</t>
    </rPh>
    <phoneticPr fontId="2"/>
  </si>
  <si>
    <r>
      <t>m</t>
    </r>
    <r>
      <rPr>
        <vertAlign val="superscript"/>
        <sz val="18"/>
        <color theme="1"/>
        <rFont val="HG丸ｺﾞｼｯｸM-PRO"/>
        <family val="3"/>
        <charset val="128"/>
      </rPr>
      <t>３</t>
    </r>
    <phoneticPr fontId="2"/>
  </si>
  <si>
    <r>
      <t>m</t>
    </r>
    <r>
      <rPr>
        <vertAlign val="superscript"/>
        <sz val="11"/>
        <color theme="1"/>
        <rFont val="HG丸ｺﾞｼｯｸM-PRO"/>
        <family val="3"/>
        <charset val="128"/>
      </rPr>
      <t>3</t>
    </r>
    <r>
      <rPr>
        <sz val="11"/>
        <color theme="1"/>
        <rFont val="HG丸ｺﾞｼｯｸM-PRO"/>
        <family val="3"/>
        <charset val="128"/>
      </rPr>
      <t>/月</t>
    </r>
    <phoneticPr fontId="2"/>
  </si>
  <si>
    <r>
      <t>m</t>
    </r>
    <r>
      <rPr>
        <vertAlign val="superscript"/>
        <sz val="11"/>
        <color theme="1"/>
        <rFont val="ＭＳ Ｐゴシック"/>
        <family val="3"/>
        <charset val="128"/>
      </rPr>
      <t>3</t>
    </r>
    <phoneticPr fontId="2"/>
  </si>
  <si>
    <t>事業所や活動団体などのホームページやパンフレットなどで、環境に関する取組を紹介する</t>
    <phoneticPr fontId="2"/>
  </si>
  <si>
    <t>液化天然ガス（LNG）</t>
    <rPh sb="2" eb="4">
      <t>テンネン</t>
    </rPh>
    <phoneticPr fontId="2"/>
  </si>
  <si>
    <r>
      <t>円/m</t>
    </r>
    <r>
      <rPr>
        <vertAlign val="superscript"/>
        <sz val="11"/>
        <color theme="0"/>
        <rFont val="ＭＳ Ｐゴシック"/>
        <family val="3"/>
        <charset val="128"/>
      </rPr>
      <t>2</t>
    </r>
    <rPh sb="0" eb="1">
      <t>エン</t>
    </rPh>
    <phoneticPr fontId="2"/>
  </si>
  <si>
    <t>事業所の光熱費の入力</t>
    <rPh sb="0" eb="3">
      <t>ジギョウショ</t>
    </rPh>
    <rPh sb="4" eb="7">
      <t>コウネツヒ</t>
    </rPh>
    <rPh sb="8" eb="10">
      <t>ニュウリョク</t>
    </rPh>
    <phoneticPr fontId="2"/>
  </si>
  <si>
    <t>（1年間）</t>
    <rPh sb="2" eb="4">
      <t>ネンカン</t>
    </rPh>
    <phoneticPr fontId="2"/>
  </si>
  <si>
    <t>（１年間）</t>
    <rPh sb="2" eb="4">
      <t>ネンカン</t>
    </rPh>
    <phoneticPr fontId="2"/>
  </si>
  <si>
    <t>各月の光熱費記入表（円）</t>
    <rPh sb="0" eb="2">
      <t>カクツキ</t>
    </rPh>
    <rPh sb="3" eb="6">
      <t>コウネツヒ</t>
    </rPh>
    <rPh sb="6" eb="8">
      <t>キニュウ</t>
    </rPh>
    <rPh sb="8" eb="9">
      <t>ヒョウ</t>
    </rPh>
    <rPh sb="10" eb="11">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</si>
</sst>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76" formatCode="0.0_ "/>
    <numFmt numFmtId="177" formatCode="0.0_);[Red]\(0.0\)"/>
    <numFmt numFmtId="178" formatCode="0.0%"/>
    <numFmt numFmtId="179" formatCode="#,##0_);[Red]\(#,##0\)"/>
    <numFmt numFmtId="180" formatCode="#,##0_ "/>
    <numFmt numFmtId="181" formatCode="0.0&quot;kg&quot;"/>
    <numFmt numFmtId="182" formatCode="0_ "/>
    <numFmt numFmtId="183" formatCode="0.00_ "/>
    <numFmt numFmtId="184" formatCode="#,##0.0_ "/>
    <numFmt numFmtId="185" formatCode="0.00_);[Red]\(0.00\)"/>
    <numFmt numFmtId="186" formatCode="0.0"/>
    <numFmt numFmtId="187" formatCode="#,##0.0_ ;[Red]\-#,##0.0\ "/>
    <numFmt numFmtId="188" formatCode="#,##0.0;[Red]\-#,##0.0"/>
    <numFmt numFmtId="189" formatCode="#,##0_ ;[Red]\-#,##0\ "/>
    <numFmt numFmtId="190" formatCode="0.0_ ;[Red]\-0.0\ "/>
    <numFmt numFmtId="191" formatCode="#,##0.00_);[Red]\(#,##0.00\)"/>
    <numFmt numFmtId="192" formatCode="0_);[Red]\(0\)"/>
    <numFmt numFmtId="193" formatCode="#,##0.0_);[Red]\(#,##0.0\)"/>
    <numFmt numFmtId="194" formatCode="0_ ;[Red]\-0\ "/>
    <numFmt numFmtId="195" formatCode="#,##0.000_ ;[Red]\-#,##0.000\ "/>
    <numFmt numFmtId="196" formatCode="#,##0.000;[Red]\-#,##0.000"/>
    <numFmt numFmtId="197" formatCode="0.000_);[Red]\(0.000\)"/>
    <numFmt numFmtId="198" formatCode="0.000_ "/>
    <numFmt numFmtId="199" formatCode="0&quot;月&quot;"/>
    <numFmt numFmtId="200" formatCode="&quot;令和&quot;General&quot;年&quot;"/>
    <numFmt numFmtId="201" formatCode="#,##0_ &quot;kg&quot;"/>
    <numFmt numFmtId="202" formatCode="&quot;kg-CO2/&quot;@"/>
    <numFmt numFmtId="203" formatCode="&quot;① 概要（&quot;@&quot;）&quot;"/>
    <numFmt numFmtId="204" formatCode="0.000_ ;[Red]\-0.000\ "/>
    <numFmt numFmtId="205" formatCode="#,##0.000_);[Red]\(#,##0.000\)"/>
    <numFmt numFmtId="206" formatCode="General&quot;月～&quot;"/>
  </numFmts>
  <fonts count="105">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vertAlign val="subscript"/>
      <sz val="11"/>
      <color theme="1"/>
      <name val="ＭＳ Ｐゴシック"/>
      <family val="3"/>
      <charset val="128"/>
    </font>
    <font>
      <vertAlign val="superscript"/>
      <sz val="11"/>
      <color theme="1"/>
      <name val="ＭＳ Ｐゴシック"/>
      <family val="3"/>
      <charset val="128"/>
    </font>
    <font>
      <sz val="11"/>
      <color rgb="FFFF0000"/>
      <name val="ＭＳ Ｐゴシック"/>
      <family val="3"/>
      <charset val="128"/>
    </font>
    <font>
      <sz val="11"/>
      <name val="ＭＳ Ｐゴシック"/>
      <family val="3"/>
      <charset val="128"/>
    </font>
    <font>
      <vertAlign val="subscript"/>
      <sz val="11"/>
      <name val="ＭＳ Ｐゴシック"/>
      <family val="3"/>
      <charset val="128"/>
    </font>
    <font>
      <b/>
      <sz val="11"/>
      <color theme="1"/>
      <name val="ＭＳ Ｐゴシック"/>
      <family val="3"/>
      <charset val="128"/>
    </font>
    <font>
      <b/>
      <sz val="12"/>
      <color theme="1"/>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b/>
      <sz val="18"/>
      <name val="ＭＳ Ｐゴシック"/>
      <family val="3"/>
      <charset val="128"/>
    </font>
    <font>
      <sz val="11"/>
      <color theme="1"/>
      <name val="ＭＳ ゴシック"/>
      <family val="3"/>
      <charset val="128"/>
    </font>
    <font>
      <sz val="11"/>
      <color theme="1"/>
      <name val="游ゴシック"/>
      <family val="3"/>
      <charset val="128"/>
      <scheme val="minor"/>
    </font>
    <font>
      <vertAlign val="subscript"/>
      <sz val="11"/>
      <color theme="1"/>
      <name val="游ゴシック"/>
      <family val="3"/>
      <charset val="128"/>
      <scheme val="minor"/>
    </font>
    <font>
      <sz val="11"/>
      <color theme="1"/>
      <name val="ＭＳ Ｐゴシック"/>
      <family val="2"/>
      <charset val="128"/>
    </font>
    <font>
      <u/>
      <sz val="11"/>
      <color theme="10"/>
      <name val="游ゴシック"/>
      <family val="2"/>
      <charset val="128"/>
      <scheme val="minor"/>
    </font>
    <font>
      <sz val="20"/>
      <color theme="1"/>
      <name val="ＭＳ Ｐゴシック"/>
      <family val="3"/>
      <charset val="128"/>
    </font>
    <font>
      <sz val="18"/>
      <color theme="1"/>
      <name val="ＭＳ ゴシック"/>
      <family val="3"/>
      <charset val="128"/>
    </font>
    <font>
      <sz val="18"/>
      <color theme="1"/>
      <name val="ＭＳ Ｐゴシック"/>
      <family val="3"/>
      <charset val="128"/>
    </font>
    <font>
      <b/>
      <sz val="14"/>
      <color theme="1"/>
      <name val="ＭＳ Ｐゴシック"/>
      <family val="3"/>
      <charset val="128"/>
    </font>
    <font>
      <sz val="11"/>
      <color theme="1"/>
      <name val="游ゴシック"/>
      <family val="2"/>
      <scheme val="minor"/>
    </font>
    <font>
      <sz val="6"/>
      <name val="游ゴシック"/>
      <family val="3"/>
      <charset val="128"/>
      <scheme val="minor"/>
    </font>
    <font>
      <sz val="11"/>
      <color theme="7"/>
      <name val="ＭＳ Ｐゴシック"/>
      <family val="3"/>
      <charset val="128"/>
    </font>
    <font>
      <vertAlign val="superscript"/>
      <sz val="10"/>
      <color theme="1"/>
      <name val="ＭＳ Ｐゴシック"/>
      <family val="3"/>
      <charset val="128"/>
    </font>
    <font>
      <vertAlign val="subscript"/>
      <sz val="10"/>
      <color theme="1"/>
      <name val="ＭＳ Ｐゴシック"/>
      <family val="3"/>
      <charset val="128"/>
    </font>
    <font>
      <sz val="20"/>
      <color theme="7"/>
      <name val="ＭＳ Ｐゴシック"/>
      <family val="3"/>
      <charset val="128"/>
    </font>
    <font>
      <b/>
      <sz val="11"/>
      <color theme="1"/>
      <name val="游ゴシック"/>
      <family val="2"/>
      <charset val="128"/>
      <scheme val="minor"/>
    </font>
    <font>
      <b/>
      <sz val="18"/>
      <color theme="1"/>
      <name val="ＭＳ ゴシック"/>
      <family val="3"/>
      <charset val="128"/>
    </font>
    <font>
      <sz val="10"/>
      <color rgb="FFFF0000"/>
      <name val="ＭＳ Ｐゴシック"/>
      <family val="3"/>
      <charset val="128"/>
    </font>
    <font>
      <sz val="6"/>
      <name val="游ゴシック"/>
      <family val="2"/>
      <charset val="128"/>
    </font>
    <font>
      <sz val="10"/>
      <color theme="1"/>
      <name val="游ゴシック"/>
      <family val="2"/>
      <charset val="128"/>
      <scheme val="minor"/>
    </font>
    <font>
      <sz val="10"/>
      <color theme="1"/>
      <name val="Noto Sans CJK SC"/>
      <family val="2"/>
      <charset val="1"/>
    </font>
    <font>
      <sz val="10"/>
      <name val="ＭＳ Ｐゴシック"/>
      <family val="3"/>
      <charset val="128"/>
    </font>
    <font>
      <b/>
      <sz val="10"/>
      <color rgb="FFFF0000"/>
      <name val="ＭＳ Ｐゴシック"/>
      <family val="3"/>
      <charset val="128"/>
    </font>
    <font>
      <sz val="10"/>
      <color theme="1"/>
      <name val="Arai"/>
    </font>
    <font>
      <sz val="10"/>
      <color theme="1"/>
      <name val="游ゴシック"/>
      <family val="2"/>
      <charset val="128"/>
    </font>
    <font>
      <sz val="10"/>
      <color theme="1"/>
      <name val="Arai"/>
      <family val="2"/>
    </font>
    <font>
      <sz val="10"/>
      <color theme="1"/>
      <name val="ＭＳ ゴシック"/>
      <family val="3"/>
      <charset val="128"/>
    </font>
    <font>
      <sz val="9"/>
      <color theme="1"/>
      <name val="Arai"/>
    </font>
    <font>
      <b/>
      <sz val="12"/>
      <color theme="0"/>
      <name val="Arai"/>
      <family val="2"/>
    </font>
    <font>
      <sz val="10"/>
      <color theme="0"/>
      <name val="ＭＳ Ｐゴシック"/>
      <family val="3"/>
      <charset val="128"/>
    </font>
    <font>
      <u/>
      <sz val="24"/>
      <color theme="1"/>
      <name val="ＭＳ ゴシック"/>
      <family val="3"/>
      <charset val="128"/>
    </font>
    <font>
      <b/>
      <sz val="16"/>
      <color theme="1"/>
      <name val="Meiryo UI"/>
      <family val="3"/>
      <charset val="128"/>
    </font>
    <font>
      <u/>
      <sz val="22"/>
      <color theme="1"/>
      <name val="ＭＳ ゴシック"/>
      <family val="3"/>
      <charset val="128"/>
    </font>
    <font>
      <u/>
      <sz val="36"/>
      <color theme="1"/>
      <name val="ＭＳ ゴシック"/>
      <family val="3"/>
      <charset val="128"/>
    </font>
    <font>
      <b/>
      <sz val="16"/>
      <color theme="3"/>
      <name val="Meiryo UI"/>
      <family val="3"/>
      <charset val="128"/>
    </font>
    <font>
      <b/>
      <vertAlign val="subscript"/>
      <sz val="16"/>
      <color theme="3"/>
      <name val="Meiryo UI"/>
      <family val="3"/>
      <charset val="128"/>
    </font>
    <font>
      <sz val="36"/>
      <color theme="1"/>
      <name val="ＭＳ ゴシック"/>
      <family val="3"/>
      <charset val="128"/>
    </font>
    <font>
      <sz val="14"/>
      <color theme="1"/>
      <name val="Meiryo UI"/>
      <family val="3"/>
      <charset val="128"/>
    </font>
    <font>
      <sz val="16"/>
      <color theme="1"/>
      <name val="Meiryo UI"/>
      <family val="3"/>
      <charset val="128"/>
    </font>
    <font>
      <sz val="11"/>
      <color theme="1"/>
      <name val="Meiryo UI"/>
      <family val="3"/>
      <charset val="128"/>
    </font>
    <font>
      <sz val="11"/>
      <color theme="1"/>
      <name val="游ゴシック"/>
      <family val="2"/>
      <charset val="128"/>
    </font>
    <font>
      <sz val="11"/>
      <color theme="1"/>
      <name val="游ゴシック"/>
      <family val="2"/>
      <charset val="1"/>
    </font>
    <font>
      <b/>
      <sz val="10"/>
      <color theme="0"/>
      <name val="ＭＳ Ｐゴシック"/>
      <family val="3"/>
      <charset val="128"/>
    </font>
    <font>
      <sz val="11"/>
      <color theme="1"/>
      <name val="HG丸ｺﾞｼｯｸM-PRO"/>
      <family val="3"/>
      <charset val="128"/>
    </font>
    <font>
      <b/>
      <u/>
      <sz val="28"/>
      <color theme="1"/>
      <name val="Meiryo UI"/>
      <family val="3"/>
      <charset val="128"/>
    </font>
    <font>
      <b/>
      <sz val="28"/>
      <color theme="1"/>
      <name val="Meiryo UI"/>
      <family val="3"/>
      <charset val="128"/>
    </font>
    <font>
      <sz val="11"/>
      <color rgb="FFFF0000"/>
      <name val="游ゴシック"/>
      <family val="2"/>
      <charset val="128"/>
      <scheme val="minor"/>
    </font>
    <font>
      <b/>
      <sz val="10"/>
      <color theme="1"/>
      <name val="ＭＳ Ｐゴシック"/>
      <family val="3"/>
      <charset val="128"/>
    </font>
    <font>
      <b/>
      <sz val="14"/>
      <color theme="1"/>
      <name val="HG丸ｺﾞｼｯｸM-PRO"/>
      <family val="3"/>
      <charset val="128"/>
    </font>
    <font>
      <sz val="11"/>
      <name val="HG丸ｺﾞｼｯｸM-PRO"/>
      <family val="3"/>
      <charset val="128"/>
    </font>
    <font>
      <vertAlign val="superscript"/>
      <sz val="11"/>
      <color theme="1"/>
      <name val="HG丸ｺﾞｼｯｸM-PRO"/>
      <family val="3"/>
      <charset val="128"/>
    </font>
    <font>
      <b/>
      <sz val="12"/>
      <color theme="1"/>
      <name val="HG丸ｺﾞｼｯｸM-PRO"/>
      <family val="3"/>
      <charset val="128"/>
    </font>
    <font>
      <sz val="12"/>
      <color theme="1"/>
      <name val="HG丸ｺﾞｼｯｸM-PRO"/>
      <family val="3"/>
      <charset val="128"/>
    </font>
    <font>
      <b/>
      <sz val="11"/>
      <color theme="1"/>
      <name val="HG丸ｺﾞｼｯｸM-PRO"/>
      <family val="3"/>
      <charset val="128"/>
    </font>
    <font>
      <sz val="9"/>
      <color theme="1"/>
      <name val="HG丸ｺﾞｼｯｸM-PRO"/>
      <family val="3"/>
      <charset val="128"/>
    </font>
    <font>
      <sz val="10"/>
      <color theme="1"/>
      <name val="HG丸ｺﾞｼｯｸM-PRO"/>
      <family val="3"/>
      <charset val="128"/>
    </font>
    <font>
      <sz val="10"/>
      <name val="HG丸ｺﾞｼｯｸM-PRO"/>
      <family val="3"/>
      <charset val="128"/>
    </font>
    <font>
      <sz val="11"/>
      <name val="游ゴシック"/>
      <family val="2"/>
      <charset val="128"/>
      <scheme val="minor"/>
    </font>
    <font>
      <sz val="8"/>
      <color theme="1"/>
      <name val="HG丸ｺﾞｼｯｸM-PRO"/>
      <family val="3"/>
      <charset val="128"/>
    </font>
    <font>
      <sz val="8"/>
      <color theme="1"/>
      <name val="游ゴシック"/>
      <family val="2"/>
      <charset val="128"/>
      <scheme val="minor"/>
    </font>
    <font>
      <vertAlign val="superscript"/>
      <sz val="9"/>
      <color theme="1"/>
      <name val="HG丸ｺﾞｼｯｸM-PRO"/>
      <family val="3"/>
      <charset val="128"/>
    </font>
    <font>
      <sz val="9"/>
      <name val="HG丸ｺﾞｼｯｸM-PRO"/>
      <family val="3"/>
      <charset val="128"/>
    </font>
    <font>
      <sz val="12"/>
      <name val="HG丸ｺﾞｼｯｸM-PRO"/>
      <family val="3"/>
      <charset val="128"/>
    </font>
    <font>
      <b/>
      <sz val="14"/>
      <name val="HG丸ｺﾞｼｯｸM-PRO"/>
      <family val="3"/>
      <charset val="128"/>
    </font>
    <font>
      <sz val="10"/>
      <color theme="0" tint="-0.249977111117893"/>
      <name val="ＭＳ Ｐゴシック"/>
      <family val="3"/>
      <charset val="128"/>
    </font>
    <font>
      <sz val="10"/>
      <color theme="0"/>
      <name val="Arai"/>
    </font>
    <font>
      <sz val="10"/>
      <color theme="0"/>
      <name val="Arai"/>
      <family val="2"/>
    </font>
    <font>
      <sz val="6"/>
      <name val="ＭＳ Ｐゴシック"/>
      <family val="3"/>
      <charset val="128"/>
    </font>
    <font>
      <sz val="10"/>
      <color rgb="FF0070C0"/>
      <name val="ＭＳ Ｐゴシック"/>
      <family val="3"/>
      <charset val="128"/>
    </font>
    <font>
      <sz val="8"/>
      <color theme="1"/>
      <name val="ＭＳ Ｐゴシック"/>
      <family val="3"/>
      <charset val="128"/>
    </font>
    <font>
      <sz val="11"/>
      <color theme="0"/>
      <name val="ＭＳ Ｐゴシック"/>
      <family val="3"/>
      <charset val="128"/>
    </font>
    <font>
      <b/>
      <sz val="20"/>
      <color theme="1"/>
      <name val="ＭＳ Ｐゴシック"/>
      <family val="3"/>
      <charset val="128"/>
    </font>
    <font>
      <sz val="14"/>
      <color theme="1"/>
      <name val="HG丸ｺﾞｼｯｸM-PRO"/>
      <family val="3"/>
      <charset val="128"/>
    </font>
    <font>
      <b/>
      <sz val="18"/>
      <name val="HG丸ｺﾞｼｯｸM-PRO"/>
      <family val="3"/>
      <charset val="128"/>
    </font>
    <font>
      <vertAlign val="subscript"/>
      <sz val="14"/>
      <color theme="1"/>
      <name val="HG丸ｺﾞｼｯｸM-PRO"/>
      <family val="3"/>
      <charset val="128"/>
    </font>
    <font>
      <sz val="14"/>
      <name val="HG丸ｺﾞｼｯｸM-PRO"/>
      <family val="3"/>
      <charset val="128"/>
    </font>
    <font>
      <sz val="16"/>
      <color theme="1"/>
      <name val="HG丸ｺﾞｼｯｸM-PRO"/>
      <family val="3"/>
      <charset val="128"/>
    </font>
    <font>
      <sz val="18"/>
      <color theme="1"/>
      <name val="HG丸ｺﾞｼｯｸM-PRO"/>
      <family val="3"/>
      <charset val="128"/>
    </font>
    <font>
      <vertAlign val="superscript"/>
      <sz val="18"/>
      <color theme="1"/>
      <name val="HG丸ｺﾞｼｯｸM-PRO"/>
      <family val="3"/>
      <charset val="128"/>
    </font>
    <font>
      <b/>
      <sz val="24"/>
      <color theme="1"/>
      <name val="HG丸ｺﾞｼｯｸM-PRO"/>
      <family val="3"/>
      <charset val="128"/>
    </font>
    <font>
      <sz val="20"/>
      <color theme="1"/>
      <name val="HG丸ｺﾞｼｯｸM-PRO"/>
      <family val="3"/>
      <charset val="128"/>
    </font>
    <font>
      <b/>
      <sz val="16"/>
      <color theme="0"/>
      <name val="ＭＳ Ｐゴシック"/>
      <family val="3"/>
      <charset val="128"/>
    </font>
    <font>
      <vertAlign val="superscript"/>
      <sz val="11"/>
      <color theme="0"/>
      <name val="ＭＳ Ｐゴシック"/>
      <family val="3"/>
      <charset val="128"/>
    </font>
    <font>
      <sz val="11"/>
      <color theme="0" tint="-4.9989318521683403E-2"/>
      <name val="游ゴシック"/>
      <family val="2"/>
      <charset val="128"/>
      <scheme val="minor"/>
    </font>
    <font>
      <sz val="11"/>
      <color theme="0" tint="-4.9989318521683403E-2"/>
      <name val="ＭＳ Ｐゴシック"/>
      <family val="3"/>
      <charset val="128"/>
    </font>
    <font>
      <sz val="10"/>
      <color theme="0" tint="-4.9989318521683403E-2"/>
      <name val="Arai"/>
      <family val="2"/>
    </font>
    <font>
      <sz val="10"/>
      <color theme="0" tint="-4.9989318521683403E-2"/>
      <name val="游ゴシック"/>
      <family val="2"/>
      <charset val="128"/>
      <scheme val="minor"/>
    </font>
    <font>
      <sz val="10"/>
      <color theme="0" tint="-4.9989318521683403E-2"/>
      <name val="ＭＳ Ｐゴシック"/>
      <family val="3"/>
      <charset val="128"/>
    </font>
    <font>
      <sz val="16"/>
      <color theme="1"/>
      <name val="ＭＳ Ｐゴシック"/>
      <family val="3"/>
      <charset val="128"/>
    </font>
    <font>
      <sz val="16"/>
      <name val="ＭＳ Ｐゴシック"/>
      <family val="3"/>
      <charset val="128"/>
    </font>
  </fonts>
  <fills count="2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rgb="FFFFFFCC"/>
        <bgColor indexed="64"/>
      </patternFill>
    </fill>
    <fill>
      <patternFill patternType="solid">
        <fgColor theme="3" tint="0.79998168889431442"/>
        <bgColor indexed="64"/>
      </patternFill>
    </fill>
    <fill>
      <patternFill patternType="solid">
        <fgColor rgb="FFCCFFCC"/>
        <bgColor indexed="64"/>
      </patternFill>
    </fill>
    <fill>
      <patternFill patternType="solid">
        <fgColor rgb="FFCCCCFF"/>
        <bgColor indexed="64"/>
      </patternFill>
    </fill>
    <fill>
      <patternFill patternType="solid">
        <fgColor rgb="FFCCFFFF"/>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0"/>
        <bgColor rgb="FFEBF1DE"/>
      </patternFill>
    </fill>
    <fill>
      <patternFill patternType="solid">
        <fgColor theme="8" tint="0.79989013336588644"/>
        <bgColor rgb="FFE0F2FF"/>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rgb="FF00B050"/>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diagonalUp="1">
      <left style="medium">
        <color rgb="FFFF0000"/>
      </left>
      <right style="thin">
        <color indexed="64"/>
      </right>
      <top style="thin">
        <color indexed="64"/>
      </top>
      <bottom style="thin">
        <color indexed="64"/>
      </bottom>
      <diagonal style="thin">
        <color indexed="64"/>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style="thin">
        <color indexed="64"/>
      </right>
      <top style="thin">
        <color indexed="64"/>
      </top>
      <bottom style="thin">
        <color indexed="64"/>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theme="1"/>
      </left>
      <right style="thin">
        <color theme="1"/>
      </right>
      <top style="thin">
        <color theme="1"/>
      </top>
      <bottom style="thin">
        <color theme="1"/>
      </bottom>
      <diagonal/>
    </border>
    <border>
      <left style="medium">
        <color rgb="FFFF0000"/>
      </left>
      <right style="thin">
        <color indexed="64"/>
      </right>
      <top style="medium">
        <color rgb="FFFF0000"/>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style="medium">
        <color rgb="FFFF0000"/>
      </left>
      <right style="thin">
        <color indexed="64"/>
      </right>
      <top/>
      <bottom/>
      <diagonal/>
    </border>
    <border>
      <left style="medium">
        <color rgb="FFFF0000"/>
      </left>
      <right style="thin">
        <color indexed="64"/>
      </right>
      <top/>
      <bottom style="medium">
        <color rgb="FFFF0000"/>
      </bottom>
      <diagonal/>
    </border>
    <border>
      <left style="thin">
        <color indexed="64"/>
      </left>
      <right/>
      <top style="thin">
        <color indexed="64"/>
      </top>
      <bottom style="medium">
        <color rgb="FFFF0000"/>
      </bottom>
      <diagonal/>
    </border>
    <border>
      <left/>
      <right style="thin">
        <color indexed="64"/>
      </right>
      <top style="thin">
        <color indexed="64"/>
      </top>
      <bottom style="medium">
        <color rgb="FFFF0000"/>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rgb="FFFF0000"/>
      </left>
      <right style="thin">
        <color indexed="64"/>
      </right>
      <top style="medium">
        <color rgb="FFFF0000"/>
      </top>
      <bottom style="medium">
        <color rgb="FFFF0000"/>
      </bottom>
      <diagonal/>
    </border>
    <border>
      <left style="medium">
        <color rgb="FFFF0000"/>
      </left>
      <right style="thin">
        <color indexed="64"/>
      </right>
      <top/>
      <bottom style="thin">
        <color indexed="64"/>
      </bottom>
      <diagonal/>
    </border>
    <border>
      <left style="thin">
        <color indexed="64"/>
      </left>
      <right style="medium">
        <color rgb="FFFF0000"/>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rgb="FFFF0000"/>
      </left>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medium">
        <color rgb="FFFF0000"/>
      </left>
      <right/>
      <top style="thin">
        <color indexed="64"/>
      </top>
      <bottom/>
      <diagonal/>
    </border>
    <border>
      <left style="medium">
        <color rgb="FFFF0000"/>
      </left>
      <right/>
      <top/>
      <bottom style="thin">
        <color indexed="64"/>
      </bottom>
      <diagonal/>
    </border>
    <border>
      <left style="thin">
        <color indexed="64"/>
      </left>
      <right style="medium">
        <color rgb="FFFF0000"/>
      </right>
      <top style="thin">
        <color indexed="64"/>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style="thin">
        <color indexed="64"/>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thin">
        <color indexed="64"/>
      </right>
      <top style="medium">
        <color rgb="FFFF0000"/>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medium">
        <color rgb="FFFF0000"/>
      </left>
      <right style="thin">
        <color theme="1"/>
      </right>
      <top style="thin">
        <color theme="1"/>
      </top>
      <bottom style="thin">
        <color theme="1"/>
      </bottom>
      <diagonal/>
    </border>
    <border>
      <left style="medium">
        <color rgb="FFFF0000"/>
      </left>
      <right/>
      <top style="thin">
        <color theme="1"/>
      </top>
      <bottom/>
      <diagonal/>
    </border>
    <border>
      <left style="medium">
        <color rgb="FFFF0000"/>
      </left>
      <right/>
      <top/>
      <bottom style="medium">
        <color rgb="FFFF0000"/>
      </bottom>
      <diagonal/>
    </border>
    <border>
      <left style="medium">
        <color auto="1"/>
      </left>
      <right style="thin">
        <color theme="1"/>
      </right>
      <top style="medium">
        <color auto="1"/>
      </top>
      <bottom style="thin">
        <color theme="1"/>
      </bottom>
      <diagonal/>
    </border>
    <border>
      <left style="thin">
        <color theme="1"/>
      </left>
      <right style="thin">
        <color theme="1"/>
      </right>
      <top style="medium">
        <color auto="1"/>
      </top>
      <bottom style="thin">
        <color theme="1"/>
      </bottom>
      <diagonal/>
    </border>
    <border>
      <left style="thin">
        <color theme="1"/>
      </left>
      <right style="thin">
        <color indexed="64"/>
      </right>
      <top style="medium">
        <color auto="1"/>
      </top>
      <bottom style="thin">
        <color theme="1"/>
      </bottom>
      <diagonal/>
    </border>
    <border>
      <left style="medium">
        <color auto="1"/>
      </left>
      <right style="thin">
        <color theme="1"/>
      </right>
      <top style="thin">
        <color theme="1"/>
      </top>
      <bottom style="thin">
        <color theme="1"/>
      </bottom>
      <diagonal/>
    </border>
    <border>
      <left style="medium">
        <color auto="1"/>
      </left>
      <right/>
      <top style="thin">
        <color theme="1"/>
      </top>
      <bottom/>
      <diagonal/>
    </border>
    <border>
      <left style="thick">
        <color rgb="FF0000FF"/>
      </left>
      <right style="thin">
        <color indexed="64"/>
      </right>
      <top style="thick">
        <color rgb="FF0000FF"/>
      </top>
      <bottom style="thin">
        <color indexed="64"/>
      </bottom>
      <diagonal/>
    </border>
    <border>
      <left style="thin">
        <color indexed="64"/>
      </left>
      <right style="thin">
        <color indexed="64"/>
      </right>
      <top style="thick">
        <color rgb="FF0000FF"/>
      </top>
      <bottom style="thin">
        <color indexed="64"/>
      </bottom>
      <diagonal/>
    </border>
    <border>
      <left style="thin">
        <color indexed="64"/>
      </left>
      <right style="thick">
        <color rgb="FF0000FF"/>
      </right>
      <top style="thick">
        <color rgb="FF0000FF"/>
      </top>
      <bottom style="thin">
        <color indexed="64"/>
      </bottom>
      <diagonal/>
    </border>
    <border>
      <left style="thick">
        <color rgb="FF0000FF"/>
      </left>
      <right style="thin">
        <color indexed="64"/>
      </right>
      <top style="thin">
        <color indexed="64"/>
      </top>
      <bottom style="thin">
        <color indexed="64"/>
      </bottom>
      <diagonal/>
    </border>
    <border>
      <left style="thin">
        <color indexed="64"/>
      </left>
      <right style="thick">
        <color rgb="FF0000FF"/>
      </right>
      <top style="thin">
        <color indexed="64"/>
      </top>
      <bottom style="thin">
        <color indexed="64"/>
      </bottom>
      <diagonal/>
    </border>
    <border>
      <left style="thick">
        <color rgb="FF0000FF"/>
      </left>
      <right style="thin">
        <color indexed="64"/>
      </right>
      <top style="thin">
        <color indexed="64"/>
      </top>
      <bottom style="thick">
        <color rgb="FF0000FF"/>
      </bottom>
      <diagonal/>
    </border>
    <border>
      <left style="thin">
        <color indexed="64"/>
      </left>
      <right style="thin">
        <color indexed="64"/>
      </right>
      <top style="thin">
        <color indexed="64"/>
      </top>
      <bottom style="thick">
        <color rgb="FF0000FF"/>
      </bottom>
      <diagonal/>
    </border>
    <border>
      <left style="thin">
        <color indexed="64"/>
      </left>
      <right style="thick">
        <color rgb="FF0000FF"/>
      </right>
      <top style="thin">
        <color indexed="64"/>
      </top>
      <bottom style="thick">
        <color rgb="FF0000FF"/>
      </bottom>
      <diagonal/>
    </border>
    <border>
      <left style="thick">
        <color rgb="FF0000FF"/>
      </left>
      <right style="thin">
        <color indexed="64"/>
      </right>
      <top style="thick">
        <color rgb="FF0000FF"/>
      </top>
      <bottom style="thick">
        <color rgb="FF0000FF"/>
      </bottom>
      <diagonal/>
    </border>
    <border>
      <left style="thin">
        <color indexed="64"/>
      </left>
      <right style="thin">
        <color indexed="64"/>
      </right>
      <top style="thick">
        <color rgb="FF0000FF"/>
      </top>
      <bottom style="thick">
        <color rgb="FF0000FF"/>
      </bottom>
      <diagonal/>
    </border>
    <border>
      <left style="thin">
        <color indexed="64"/>
      </left>
      <right style="thick">
        <color rgb="FF0000FF"/>
      </right>
      <top style="thick">
        <color rgb="FF0000FF"/>
      </top>
      <bottom style="thick">
        <color rgb="FF0000FF"/>
      </bottom>
      <diagonal/>
    </border>
    <border>
      <left style="thin">
        <color indexed="64"/>
      </left>
      <right/>
      <top style="thick">
        <color rgb="FF0000FF"/>
      </top>
      <bottom style="thick">
        <color rgb="FF0000FF"/>
      </bottom>
      <diagonal/>
    </border>
    <border>
      <left/>
      <right style="thin">
        <color indexed="64"/>
      </right>
      <top style="thick">
        <color rgb="FF0000FF"/>
      </top>
      <bottom style="thick">
        <color rgb="FF0000F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style="hair">
        <color indexed="64"/>
      </top>
      <bottom/>
      <diagonal/>
    </border>
    <border>
      <left/>
      <right style="medium">
        <color rgb="FFFF0000"/>
      </right>
      <top style="medium">
        <color rgb="FFFF0000"/>
      </top>
      <bottom style="thin">
        <color indexed="64"/>
      </bottom>
      <diagonal/>
    </border>
    <border>
      <left/>
      <right style="medium">
        <color rgb="FFFF0000"/>
      </right>
      <top style="thin">
        <color indexed="64"/>
      </top>
      <bottom style="thin">
        <color indexed="64"/>
      </bottom>
      <diagonal/>
    </border>
    <border>
      <left/>
      <right style="medium">
        <color rgb="FFFF0000"/>
      </right>
      <top style="thin">
        <color indexed="64"/>
      </top>
      <bottom/>
      <diagonal/>
    </border>
    <border>
      <left/>
      <right style="medium">
        <color rgb="FFFF0000"/>
      </right>
      <top style="thin">
        <color indexed="64"/>
      </top>
      <bottom style="medium">
        <color rgb="FFFF0000"/>
      </bottom>
      <diagonal/>
    </border>
  </borders>
  <cellStyleXfs count="12">
    <xf numFmtId="0" fontId="0" fillId="0" borderId="0">
      <alignment vertical="center"/>
    </xf>
    <xf numFmtId="0" fontId="19" fillId="0" borderId="0" applyNumberForma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0" fontId="24" fillId="0" borderId="0"/>
    <xf numFmtId="9" fontId="24" fillId="0" borderId="0" applyFont="0" applyFill="0" applyBorder="0" applyAlignment="0" applyProtection="0">
      <alignment vertical="center"/>
    </xf>
    <xf numFmtId="38" fontId="24" fillId="0" borderId="0" applyFont="0" applyFill="0" applyBorder="0" applyAlignment="0" applyProtection="0">
      <alignment vertical="center"/>
    </xf>
    <xf numFmtId="9" fontId="1" fillId="0" borderId="0" applyFont="0" applyFill="0" applyBorder="0" applyAlignment="0" applyProtection="0">
      <alignment vertical="center"/>
    </xf>
    <xf numFmtId="0" fontId="55" fillId="0" borderId="0">
      <alignment vertical="center"/>
    </xf>
    <xf numFmtId="9" fontId="56" fillId="0" borderId="0">
      <alignment vertical="center"/>
    </xf>
    <xf numFmtId="38" fontId="56" fillId="0" borderId="0">
      <alignment vertical="center"/>
    </xf>
    <xf numFmtId="0" fontId="56" fillId="0" borderId="0"/>
  </cellStyleXfs>
  <cellXfs count="1881">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3" borderId="1" xfId="0" applyFont="1" applyFill="1" applyBorder="1" applyAlignment="1">
      <alignment horizontal="center" vertical="center"/>
    </xf>
    <xf numFmtId="0" fontId="3" fillId="3" borderId="0" xfId="0" applyFont="1" applyFill="1">
      <alignment vertical="center"/>
    </xf>
    <xf numFmtId="176" fontId="3" fillId="3" borderId="0" xfId="0" applyNumberFormat="1" applyFont="1" applyFill="1" applyAlignment="1">
      <alignment horizontal="center" vertical="center"/>
    </xf>
    <xf numFmtId="0" fontId="3" fillId="3" borderId="0" xfId="0" applyFont="1" applyFill="1" applyAlignment="1">
      <alignment horizontal="center" vertical="center"/>
    </xf>
    <xf numFmtId="0" fontId="3" fillId="3" borderId="3" xfId="0" applyFont="1" applyFill="1" applyBorder="1" applyAlignment="1">
      <alignment horizontal="centerContinuous" vertical="center"/>
    </xf>
    <xf numFmtId="0" fontId="3" fillId="3" borderId="2" xfId="0" applyFont="1" applyFill="1" applyBorder="1" applyAlignment="1">
      <alignment horizontal="centerContinuous" vertical="center"/>
    </xf>
    <xf numFmtId="0" fontId="3" fillId="3" borderId="3" xfId="0" applyFont="1" applyFill="1" applyBorder="1">
      <alignment vertical="center"/>
    </xf>
    <xf numFmtId="177" fontId="3" fillId="3" borderId="1" xfId="0" applyNumberFormat="1" applyFont="1" applyFill="1" applyBorder="1">
      <alignment vertical="center"/>
    </xf>
    <xf numFmtId="0" fontId="3" fillId="3" borderId="0" xfId="0" applyFont="1" applyFill="1" applyAlignment="1">
      <alignment horizontal="centerContinuous" vertical="center"/>
    </xf>
    <xf numFmtId="0" fontId="3" fillId="3" borderId="4" xfId="0" applyFont="1" applyFill="1" applyBorder="1" applyAlignment="1">
      <alignment horizontal="centerContinuous" vertical="center"/>
    </xf>
    <xf numFmtId="0" fontId="3" fillId="5" borderId="3" xfId="0" applyFont="1" applyFill="1" applyBorder="1">
      <alignment vertical="center"/>
    </xf>
    <xf numFmtId="0" fontId="3" fillId="5" borderId="2" xfId="0" applyFont="1" applyFill="1" applyBorder="1">
      <alignment vertical="center"/>
    </xf>
    <xf numFmtId="0" fontId="3" fillId="5" borderId="1" xfId="0" applyFont="1" applyFill="1" applyBorder="1">
      <alignment vertical="center"/>
    </xf>
    <xf numFmtId="0" fontId="3" fillId="5" borderId="8" xfId="0" applyFont="1" applyFill="1" applyBorder="1">
      <alignment vertical="center"/>
    </xf>
    <xf numFmtId="0" fontId="3" fillId="5" borderId="9" xfId="0" applyFont="1" applyFill="1" applyBorder="1">
      <alignment vertical="center"/>
    </xf>
    <xf numFmtId="0" fontId="3" fillId="5" borderId="10" xfId="0" applyFont="1" applyFill="1" applyBorder="1">
      <alignment vertical="center"/>
    </xf>
    <xf numFmtId="0" fontId="3" fillId="5" borderId="3" xfId="0" applyFont="1" applyFill="1" applyBorder="1" applyAlignment="1">
      <alignment horizontal="centerContinuous" vertical="center"/>
    </xf>
    <xf numFmtId="0" fontId="3" fillId="5" borderId="2" xfId="0" applyFont="1" applyFill="1" applyBorder="1" applyAlignment="1">
      <alignment horizontal="centerContinuous" vertical="center"/>
    </xf>
    <xf numFmtId="0" fontId="3" fillId="5" borderId="1" xfId="0" applyFont="1" applyFill="1" applyBorder="1" applyAlignment="1">
      <alignment horizontal="centerContinuous" vertical="center" shrinkToFit="1"/>
    </xf>
    <xf numFmtId="0" fontId="3" fillId="5" borderId="1" xfId="0" applyFont="1" applyFill="1" applyBorder="1" applyAlignment="1">
      <alignment horizontal="centerContinuous" vertical="center"/>
    </xf>
    <xf numFmtId="0" fontId="3" fillId="5" borderId="1" xfId="0" applyFont="1" applyFill="1" applyBorder="1" applyAlignment="1">
      <alignment horizontal="center" vertical="center"/>
    </xf>
    <xf numFmtId="0" fontId="3" fillId="5" borderId="4" xfId="0" applyFont="1" applyFill="1" applyBorder="1">
      <alignment vertical="center"/>
    </xf>
    <xf numFmtId="0" fontId="3" fillId="5" borderId="5" xfId="0" applyFont="1" applyFill="1" applyBorder="1">
      <alignment vertical="center"/>
    </xf>
    <xf numFmtId="0" fontId="3" fillId="5" borderId="6" xfId="0" applyFont="1" applyFill="1" applyBorder="1">
      <alignment vertical="center"/>
    </xf>
    <xf numFmtId="0" fontId="3" fillId="5" borderId="4" xfId="0" applyFont="1" applyFill="1" applyBorder="1" applyAlignment="1">
      <alignment horizontal="centerContinuous" vertical="center"/>
    </xf>
    <xf numFmtId="0" fontId="3" fillId="5" borderId="2" xfId="0" applyFont="1" applyFill="1" applyBorder="1" applyAlignment="1">
      <alignment horizontal="center" vertical="center"/>
    </xf>
    <xf numFmtId="0" fontId="3" fillId="5" borderId="11" xfId="0" applyFont="1" applyFill="1" applyBorder="1" applyAlignment="1">
      <alignment horizontal="center" vertical="center"/>
    </xf>
    <xf numFmtId="0" fontId="10" fillId="5" borderId="1" xfId="0" applyFont="1" applyFill="1" applyBorder="1" applyAlignment="1">
      <alignment horizontal="centerContinuous" vertical="center"/>
    </xf>
    <xf numFmtId="0" fontId="11" fillId="5" borderId="4" xfId="0" applyFont="1" applyFill="1" applyBorder="1" applyAlignment="1">
      <alignment horizontal="right" vertical="center"/>
    </xf>
    <xf numFmtId="0" fontId="11" fillId="5" borderId="4" xfId="0" applyFont="1" applyFill="1" applyBorder="1" applyAlignment="1">
      <alignment horizontal="left" vertical="center"/>
    </xf>
    <xf numFmtId="0" fontId="12" fillId="3" borderId="0" xfId="0" applyFont="1" applyFill="1">
      <alignment vertical="center"/>
    </xf>
    <xf numFmtId="0" fontId="9" fillId="0" borderId="0" xfId="0" applyFont="1" applyAlignment="1">
      <alignment horizontal="left" vertical="center"/>
    </xf>
    <xf numFmtId="0" fontId="3" fillId="0" borderId="0" xfId="0" applyFont="1" applyAlignment="1">
      <alignment horizontal="left" vertical="center"/>
    </xf>
    <xf numFmtId="0" fontId="6" fillId="3" borderId="0" xfId="0" applyFont="1" applyFill="1">
      <alignment vertical="center"/>
    </xf>
    <xf numFmtId="0" fontId="3" fillId="2" borderId="1" xfId="0" applyFont="1" applyFill="1" applyBorder="1">
      <alignment vertical="center"/>
    </xf>
    <xf numFmtId="0" fontId="14" fillId="5" borderId="4" xfId="0" applyFont="1" applyFill="1" applyBorder="1" applyAlignment="1">
      <alignment horizontal="center" vertical="center"/>
    </xf>
    <xf numFmtId="0" fontId="9" fillId="0" borderId="0" xfId="0" applyFont="1">
      <alignment vertical="center"/>
    </xf>
    <xf numFmtId="0" fontId="6" fillId="0" borderId="0" xfId="0" applyFont="1" applyAlignment="1">
      <alignment horizontal="centerContinuous" vertical="center"/>
    </xf>
    <xf numFmtId="0" fontId="10" fillId="0" borderId="0" xfId="0" applyFont="1">
      <alignment vertical="center"/>
    </xf>
    <xf numFmtId="0" fontId="12" fillId="5" borderId="1" xfId="0" applyFont="1" applyFill="1" applyBorder="1" applyAlignment="1">
      <alignment horizontal="center" vertical="center"/>
    </xf>
    <xf numFmtId="0" fontId="12" fillId="5" borderId="1" xfId="0" applyFont="1" applyFill="1" applyBorder="1">
      <alignment vertical="center"/>
    </xf>
    <xf numFmtId="0" fontId="12" fillId="0" borderId="1" xfId="0" applyFont="1" applyBorder="1">
      <alignment vertical="center"/>
    </xf>
    <xf numFmtId="0" fontId="12" fillId="5"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3" borderId="1" xfId="0" applyFont="1" applyFill="1" applyBorder="1">
      <alignment vertical="center"/>
    </xf>
    <xf numFmtId="0" fontId="0" fillId="3" borderId="0" xfId="0" applyFill="1">
      <alignment vertical="center"/>
    </xf>
    <xf numFmtId="180" fontId="3" fillId="3" borderId="1" xfId="0" applyNumberFormat="1" applyFont="1" applyFill="1" applyBorder="1">
      <alignment vertical="center"/>
    </xf>
    <xf numFmtId="0" fontId="3" fillId="0" borderId="1" xfId="0" applyFont="1" applyBorder="1">
      <alignment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3" xfId="0" applyFont="1" applyFill="1" applyBorder="1">
      <alignment vertical="center"/>
    </xf>
    <xf numFmtId="0" fontId="3" fillId="7" borderId="4" xfId="0" applyFont="1" applyFill="1" applyBorder="1">
      <alignment vertical="center"/>
    </xf>
    <xf numFmtId="0" fontId="3" fillId="7" borderId="2" xfId="0" applyFont="1" applyFill="1" applyBorder="1">
      <alignment vertical="center"/>
    </xf>
    <xf numFmtId="0" fontId="3" fillId="7" borderId="3" xfId="0" applyFont="1" applyFill="1" applyBorder="1" applyAlignment="1">
      <alignment vertical="center" wrapText="1"/>
    </xf>
    <xf numFmtId="0" fontId="3" fillId="7" borderId="8" xfId="0" applyFont="1" applyFill="1" applyBorder="1">
      <alignment vertical="center"/>
    </xf>
    <xf numFmtId="0" fontId="3" fillId="7" borderId="12" xfId="0" applyFont="1" applyFill="1" applyBorder="1">
      <alignment vertical="center"/>
    </xf>
    <xf numFmtId="0" fontId="3" fillId="7" borderId="9" xfId="0" applyFont="1" applyFill="1" applyBorder="1">
      <alignment vertical="center"/>
    </xf>
    <xf numFmtId="0" fontId="3" fillId="7" borderId="10" xfId="0" applyFont="1" applyFill="1" applyBorder="1">
      <alignment vertical="center"/>
    </xf>
    <xf numFmtId="0" fontId="3" fillId="5" borderId="1" xfId="0" applyFont="1" applyFill="1" applyBorder="1" applyAlignment="1">
      <alignment horizontal="center" vertical="center" wrapText="1"/>
    </xf>
    <xf numFmtId="0" fontId="3" fillId="5" borderId="12" xfId="0" applyFont="1" applyFill="1" applyBorder="1">
      <alignment vertical="center"/>
    </xf>
    <xf numFmtId="0" fontId="3" fillId="5" borderId="15" xfId="0" applyFont="1" applyFill="1" applyBorder="1">
      <alignment vertical="center"/>
    </xf>
    <xf numFmtId="9" fontId="3" fillId="0" borderId="1" xfId="0" applyNumberFormat="1" applyFont="1" applyBorder="1">
      <alignment vertical="center"/>
    </xf>
    <xf numFmtId="176" fontId="3" fillId="0" borderId="1" xfId="0" applyNumberFormat="1" applyFont="1" applyBorder="1">
      <alignment vertical="center"/>
    </xf>
    <xf numFmtId="180" fontId="3" fillId="0" borderId="1" xfId="0" applyNumberFormat="1" applyFont="1" applyBorder="1">
      <alignment vertical="center"/>
    </xf>
    <xf numFmtId="0" fontId="3" fillId="8" borderId="8" xfId="0" applyFont="1" applyFill="1" applyBorder="1">
      <alignment vertical="center"/>
    </xf>
    <xf numFmtId="0" fontId="3" fillId="8" borderId="11" xfId="0" applyFont="1" applyFill="1" applyBorder="1">
      <alignment vertical="center"/>
    </xf>
    <xf numFmtId="0" fontId="3" fillId="8" borderId="9" xfId="0" applyFont="1" applyFill="1" applyBorder="1">
      <alignment vertical="center"/>
    </xf>
    <xf numFmtId="0" fontId="3" fillId="8" borderId="10" xfId="0" applyFont="1" applyFill="1" applyBorder="1">
      <alignment vertical="center"/>
    </xf>
    <xf numFmtId="0" fontId="3" fillId="8" borderId="1" xfId="0" applyFont="1" applyFill="1" applyBorder="1" applyAlignment="1">
      <alignment horizontal="center" vertical="center" wrapText="1"/>
    </xf>
    <xf numFmtId="0" fontId="3" fillId="9" borderId="1" xfId="0" applyFont="1" applyFill="1" applyBorder="1">
      <alignment vertical="center"/>
    </xf>
    <xf numFmtId="0" fontId="3" fillId="9" borderId="1" xfId="0" applyFont="1" applyFill="1" applyBorder="1" applyAlignment="1">
      <alignment horizontal="center" vertical="center"/>
    </xf>
    <xf numFmtId="176" fontId="3" fillId="2" borderId="1" xfId="0" applyNumberFormat="1" applyFont="1" applyFill="1" applyBorder="1">
      <alignment vertical="center"/>
    </xf>
    <xf numFmtId="183" fontId="3" fillId="2" borderId="1" xfId="0" applyNumberFormat="1" applyFont="1" applyFill="1" applyBorder="1">
      <alignment vertical="center"/>
    </xf>
    <xf numFmtId="184" fontId="3" fillId="0" borderId="1" xfId="0" applyNumberFormat="1" applyFont="1" applyBorder="1">
      <alignment vertical="center"/>
    </xf>
    <xf numFmtId="0" fontId="3" fillId="5" borderId="1" xfId="0" applyFont="1" applyFill="1" applyBorder="1" applyAlignment="1">
      <alignment horizontal="centerContinuous" vertical="top"/>
    </xf>
    <xf numFmtId="184" fontId="3" fillId="2" borderId="1" xfId="0" applyNumberFormat="1" applyFont="1" applyFill="1" applyBorder="1">
      <alignment vertical="center"/>
    </xf>
    <xf numFmtId="0" fontId="3" fillId="8" borderId="1" xfId="0" applyFont="1" applyFill="1" applyBorder="1">
      <alignment vertical="center"/>
    </xf>
    <xf numFmtId="0" fontId="3" fillId="7" borderId="1" xfId="0" applyFont="1" applyFill="1" applyBorder="1" applyAlignment="1">
      <alignment horizontal="centerContinuous" vertical="center"/>
    </xf>
    <xf numFmtId="0" fontId="3" fillId="5" borderId="2" xfId="0" applyFont="1" applyFill="1" applyBorder="1" applyAlignment="1">
      <alignment horizontal="center" vertical="center" wrapText="1"/>
    </xf>
    <xf numFmtId="0" fontId="12" fillId="5" borderId="1" xfId="0" applyFont="1" applyFill="1" applyBorder="1" applyAlignment="1">
      <alignment horizontal="centerContinuous" vertical="center"/>
    </xf>
    <xf numFmtId="0" fontId="12" fillId="7" borderId="1" xfId="0" applyFont="1" applyFill="1" applyBorder="1" applyAlignment="1">
      <alignment horizontal="centerContinuous" vertical="center"/>
    </xf>
    <xf numFmtId="0" fontId="12" fillId="8" borderId="1" xfId="0" applyFont="1" applyFill="1" applyBorder="1" applyAlignment="1">
      <alignment horizontal="centerContinuous" vertical="center"/>
    </xf>
    <xf numFmtId="0" fontId="12" fillId="0" borderId="0" xfId="0" applyFont="1">
      <alignment vertical="center"/>
    </xf>
    <xf numFmtId="0" fontId="12" fillId="7" borderId="1" xfId="0" applyFont="1" applyFill="1" applyBorder="1" applyAlignment="1">
      <alignment horizontal="center" vertical="center" wrapText="1"/>
    </xf>
    <xf numFmtId="0" fontId="12" fillId="7"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0" borderId="0" xfId="0" applyFont="1" applyAlignment="1">
      <alignment horizontal="center" vertical="center"/>
    </xf>
    <xf numFmtId="0" fontId="12" fillId="8" borderId="1" xfId="0" applyFont="1" applyFill="1" applyBorder="1" applyAlignment="1">
      <alignment horizontal="center" vertical="center"/>
    </xf>
    <xf numFmtId="0" fontId="21" fillId="3" borderId="0" xfId="0" applyFont="1" applyFill="1">
      <alignment vertical="center"/>
    </xf>
    <xf numFmtId="0" fontId="23" fillId="3" borderId="0" xfId="0" applyFont="1" applyFill="1">
      <alignment vertical="center"/>
    </xf>
    <xf numFmtId="0" fontId="0" fillId="5" borderId="3" xfId="0" applyFill="1" applyBorder="1">
      <alignment vertical="center"/>
    </xf>
    <xf numFmtId="0" fontId="0" fillId="5" borderId="4" xfId="0" applyFill="1" applyBorder="1">
      <alignment vertical="center"/>
    </xf>
    <xf numFmtId="0" fontId="0" fillId="5" borderId="2" xfId="0" applyFill="1" applyBorder="1">
      <alignment vertical="center"/>
    </xf>
    <xf numFmtId="0" fontId="12" fillId="8" borderId="3" xfId="0" applyFont="1" applyFill="1" applyBorder="1" applyAlignment="1">
      <alignment horizontal="centerContinuous" vertical="center"/>
    </xf>
    <xf numFmtId="0" fontId="12" fillId="8" borderId="2" xfId="0" applyFont="1" applyFill="1" applyBorder="1" applyAlignment="1">
      <alignment horizontal="centerContinuous" vertical="center"/>
    </xf>
    <xf numFmtId="0" fontId="12" fillId="0" borderId="1" xfId="0" applyFont="1" applyBorder="1" applyAlignment="1">
      <alignment vertical="center" shrinkToFit="1"/>
    </xf>
    <xf numFmtId="0" fontId="12" fillId="0" borderId="1" xfId="0" applyFont="1" applyBorder="1" applyAlignment="1">
      <alignment vertical="center" wrapText="1"/>
    </xf>
    <xf numFmtId="177" fontId="12" fillId="0" borderId="1" xfId="0" applyNumberFormat="1" applyFont="1" applyBorder="1">
      <alignment vertical="center"/>
    </xf>
    <xf numFmtId="0" fontId="12" fillId="0" borderId="1" xfId="0" applyFont="1" applyBorder="1" applyAlignment="1">
      <alignment horizontal="center" vertical="center" wrapText="1"/>
    </xf>
    <xf numFmtId="0" fontId="12" fillId="0" borderId="1" xfId="0" applyFont="1" applyBorder="1" applyAlignment="1">
      <alignment vertical="center" wrapText="1" shrinkToFit="1"/>
    </xf>
    <xf numFmtId="0" fontId="12" fillId="0" borderId="0" xfId="0" applyFont="1" applyAlignment="1">
      <alignment horizontal="left" vertical="center"/>
    </xf>
    <xf numFmtId="0" fontId="12" fillId="0" borderId="0" xfId="0" applyFont="1" applyAlignment="1">
      <alignment vertical="center" wrapText="1"/>
    </xf>
    <xf numFmtId="183" fontId="12" fillId="0" borderId="1" xfId="0" applyNumberFormat="1" applyFont="1" applyBorder="1">
      <alignment vertical="center"/>
    </xf>
    <xf numFmtId="0" fontId="22" fillId="0" borderId="0" xfId="0" applyFont="1">
      <alignment vertical="center"/>
    </xf>
    <xf numFmtId="0" fontId="20" fillId="3" borderId="0" xfId="0" applyFont="1" applyFill="1">
      <alignment vertical="center"/>
    </xf>
    <xf numFmtId="0" fontId="12" fillId="3" borderId="0" xfId="0" applyFont="1" applyFill="1" applyAlignment="1">
      <alignment horizontal="center" vertical="center"/>
    </xf>
    <xf numFmtId="185" fontId="3" fillId="2" borderId="1" xfId="0" applyNumberFormat="1" applyFont="1" applyFill="1" applyBorder="1">
      <alignment vertical="center"/>
    </xf>
    <xf numFmtId="0" fontId="3" fillId="8" borderId="12" xfId="0" applyFont="1" applyFill="1" applyBorder="1">
      <alignment vertical="center"/>
    </xf>
    <xf numFmtId="0" fontId="3" fillId="8" borderId="15" xfId="0" applyFont="1" applyFill="1" applyBorder="1">
      <alignment vertical="center"/>
    </xf>
    <xf numFmtId="0" fontId="3" fillId="0" borderId="0" xfId="4" applyFont="1"/>
    <xf numFmtId="0" fontId="20" fillId="0" borderId="0" xfId="4" applyFont="1" applyAlignment="1">
      <alignment vertical="center"/>
    </xf>
    <xf numFmtId="0" fontId="3" fillId="0" borderId="0" xfId="4" applyFont="1" applyAlignment="1">
      <alignment vertical="center"/>
    </xf>
    <xf numFmtId="0" fontId="12" fillId="8" borderId="3" xfId="4" applyFont="1" applyFill="1" applyBorder="1" applyAlignment="1">
      <alignment horizontal="centerContinuous" vertical="center"/>
    </xf>
    <xf numFmtId="0" fontId="12" fillId="8" borderId="2" xfId="4" applyFont="1" applyFill="1" applyBorder="1" applyAlignment="1">
      <alignment horizontal="centerContinuous" vertical="center"/>
    </xf>
    <xf numFmtId="0" fontId="12" fillId="8" borderId="1" xfId="4" applyFont="1" applyFill="1" applyBorder="1" applyAlignment="1">
      <alignment horizontal="center" vertical="center"/>
    </xf>
    <xf numFmtId="0" fontId="12" fillId="8" borderId="3" xfId="4" applyFont="1" applyFill="1" applyBorder="1" applyAlignment="1">
      <alignment horizontal="centerContinuous" vertical="center" wrapText="1"/>
    </xf>
    <xf numFmtId="0" fontId="12" fillId="8" borderId="2" xfId="4" applyFont="1" applyFill="1" applyBorder="1" applyAlignment="1">
      <alignment horizontal="centerContinuous" vertical="center" wrapText="1"/>
    </xf>
    <xf numFmtId="0" fontId="12" fillId="8" borderId="1" xfId="4" applyFont="1" applyFill="1" applyBorder="1" applyAlignment="1">
      <alignment horizontal="center" vertical="center" wrapText="1"/>
    </xf>
    <xf numFmtId="0" fontId="12" fillId="8" borderId="3" xfId="4" applyFont="1" applyFill="1" applyBorder="1" applyAlignment="1">
      <alignment horizontal="center" vertical="center"/>
    </xf>
    <xf numFmtId="9" fontId="12" fillId="8" borderId="1" xfId="5" applyFont="1" applyFill="1" applyBorder="1" applyAlignment="1" applyProtection="1">
      <alignment horizontal="center" vertical="center"/>
    </xf>
    <xf numFmtId="0" fontId="3" fillId="5" borderId="1" xfId="4" applyFont="1" applyFill="1" applyBorder="1" applyAlignment="1">
      <alignment horizontal="centerContinuous" vertical="center"/>
    </xf>
    <xf numFmtId="0" fontId="3" fillId="5" borderId="1" xfId="4" applyFont="1" applyFill="1" applyBorder="1" applyAlignment="1">
      <alignment horizontal="centerContinuous"/>
    </xf>
    <xf numFmtId="0" fontId="12" fillId="5" borderId="1" xfId="4" applyFont="1" applyFill="1" applyBorder="1" applyAlignment="1">
      <alignment horizontal="center" vertical="center" wrapText="1"/>
    </xf>
    <xf numFmtId="0" fontId="3" fillId="5" borderId="1" xfId="4" applyFont="1" applyFill="1" applyBorder="1" applyAlignment="1">
      <alignment horizontal="center" vertical="center" wrapText="1"/>
    </xf>
    <xf numFmtId="0" fontId="3" fillId="5" borderId="1" xfId="4" applyFont="1" applyFill="1" applyBorder="1" applyAlignment="1">
      <alignment vertical="center"/>
    </xf>
    <xf numFmtId="0" fontId="3" fillId="5" borderId="1" xfId="4" applyFont="1" applyFill="1" applyBorder="1" applyAlignment="1">
      <alignment horizontal="center" vertical="center"/>
    </xf>
    <xf numFmtId="0" fontId="3" fillId="7" borderId="1" xfId="4" applyFont="1" applyFill="1" applyBorder="1" applyAlignment="1">
      <alignment horizontal="centerContinuous" vertical="center"/>
    </xf>
    <xf numFmtId="0" fontId="3" fillId="7" borderId="1" xfId="4" applyFont="1" applyFill="1" applyBorder="1" applyAlignment="1">
      <alignment horizontal="centerContinuous"/>
    </xf>
    <xf numFmtId="0" fontId="12" fillId="7" borderId="1" xfId="4" applyFont="1" applyFill="1" applyBorder="1" applyAlignment="1">
      <alignment horizontal="center" vertical="center" wrapText="1"/>
    </xf>
    <xf numFmtId="0" fontId="3" fillId="7" borderId="1" xfId="4" applyFont="1" applyFill="1" applyBorder="1" applyAlignment="1">
      <alignment horizontal="center" vertical="center"/>
    </xf>
    <xf numFmtId="0" fontId="3" fillId="7" borderId="1" xfId="4" applyFont="1" applyFill="1" applyBorder="1" applyAlignment="1">
      <alignment horizontal="center" vertical="center" wrapText="1"/>
    </xf>
    <xf numFmtId="0" fontId="3" fillId="0" borderId="0" xfId="4" applyFont="1" applyAlignment="1">
      <alignment horizontal="center"/>
    </xf>
    <xf numFmtId="0" fontId="3" fillId="8" borderId="1" xfId="4" applyFont="1" applyFill="1" applyBorder="1" applyAlignment="1">
      <alignment horizontal="center" vertical="center"/>
    </xf>
    <xf numFmtId="9" fontId="3" fillId="8" borderId="1" xfId="5" applyFont="1" applyFill="1" applyBorder="1" applyAlignment="1">
      <alignment horizontal="center" vertical="center"/>
    </xf>
    <xf numFmtId="38" fontId="3" fillId="0" borderId="0" xfId="6" applyFont="1" applyFill="1" applyBorder="1" applyAlignment="1"/>
    <xf numFmtId="0" fontId="3" fillId="8" borderId="1" xfId="4" applyFont="1" applyFill="1" applyBorder="1" applyAlignment="1">
      <alignment horizontal="center" vertical="center" wrapText="1"/>
    </xf>
    <xf numFmtId="0" fontId="3" fillId="5" borderId="3" xfId="4" applyFont="1" applyFill="1" applyBorder="1" applyAlignment="1">
      <alignment vertical="center"/>
    </xf>
    <xf numFmtId="0" fontId="3" fillId="5" borderId="4" xfId="4" applyFont="1" applyFill="1" applyBorder="1" applyAlignment="1">
      <alignment vertical="center"/>
    </xf>
    <xf numFmtId="0" fontId="3" fillId="5" borderId="4" xfId="4" applyFont="1" applyFill="1" applyBorder="1" applyAlignment="1">
      <alignment horizontal="center" vertical="center"/>
    </xf>
    <xf numFmtId="0" fontId="3" fillId="5" borderId="2" xfId="4" applyFont="1" applyFill="1" applyBorder="1" applyAlignment="1">
      <alignment vertical="center"/>
    </xf>
    <xf numFmtId="0" fontId="3" fillId="5" borderId="1" xfId="4" applyFont="1" applyFill="1" applyBorder="1" applyAlignment="1">
      <alignment horizontal="left" vertical="center"/>
    </xf>
    <xf numFmtId="183" fontId="3" fillId="0" borderId="0" xfId="4" applyNumberFormat="1" applyFont="1"/>
    <xf numFmtId="178" fontId="3" fillId="0" borderId="0" xfId="5" applyNumberFormat="1" applyFont="1" applyAlignment="1"/>
    <xf numFmtId="176" fontId="3" fillId="0" borderId="0" xfId="4" applyNumberFormat="1" applyFont="1"/>
    <xf numFmtId="182" fontId="3" fillId="0" borderId="0" xfId="4" applyNumberFormat="1" applyFont="1"/>
    <xf numFmtId="178" fontId="3" fillId="0" borderId="0" xfId="4" applyNumberFormat="1" applyFont="1"/>
    <xf numFmtId="192" fontId="3" fillId="0" borderId="0" xfId="4" applyNumberFormat="1" applyFont="1"/>
    <xf numFmtId="0" fontId="3" fillId="5" borderId="1" xfId="4" applyFont="1" applyFill="1" applyBorder="1" applyAlignment="1">
      <alignment horizontal="right" vertical="center"/>
    </xf>
    <xf numFmtId="0" fontId="3" fillId="7" borderId="3" xfId="4" applyFont="1" applyFill="1" applyBorder="1" applyAlignment="1">
      <alignment vertical="center"/>
    </xf>
    <xf numFmtId="0" fontId="3" fillId="7" borderId="4" xfId="4" applyFont="1" applyFill="1" applyBorder="1" applyAlignment="1">
      <alignment vertical="center"/>
    </xf>
    <xf numFmtId="0" fontId="3" fillId="7" borderId="2" xfId="4" applyFont="1" applyFill="1" applyBorder="1" applyAlignment="1">
      <alignment vertical="center"/>
    </xf>
    <xf numFmtId="0" fontId="3" fillId="7" borderId="1" xfId="4" applyFont="1" applyFill="1" applyBorder="1" applyAlignment="1">
      <alignment vertical="center"/>
    </xf>
    <xf numFmtId="0" fontId="3" fillId="8" borderId="3" xfId="4" applyFont="1" applyFill="1" applyBorder="1" applyAlignment="1">
      <alignment vertical="center"/>
    </xf>
    <xf numFmtId="0" fontId="3" fillId="8" borderId="2" xfId="4" applyFont="1" applyFill="1" applyBorder="1" applyAlignment="1">
      <alignment vertical="center"/>
    </xf>
    <xf numFmtId="0" fontId="3" fillId="8" borderId="1" xfId="4" applyFont="1" applyFill="1" applyBorder="1" applyAlignment="1">
      <alignment horizontal="left" vertical="center" wrapText="1"/>
    </xf>
    <xf numFmtId="0" fontId="3" fillId="8" borderId="1" xfId="4" applyFont="1" applyFill="1" applyBorder="1" applyAlignment="1">
      <alignment horizontal="centerContinuous" vertical="center"/>
    </xf>
    <xf numFmtId="0" fontId="3" fillId="8" borderId="1" xfId="4" applyFont="1" applyFill="1" applyBorder="1" applyAlignment="1">
      <alignment horizontal="centerContinuous"/>
    </xf>
    <xf numFmtId="0" fontId="3" fillId="7" borderId="0" xfId="4" applyFont="1" applyFill="1" applyAlignment="1">
      <alignment vertical="center"/>
    </xf>
    <xf numFmtId="0" fontId="3" fillId="7" borderId="1" xfId="4" applyFont="1" applyFill="1" applyBorder="1" applyAlignment="1">
      <alignment horizontal="left" vertical="center"/>
    </xf>
    <xf numFmtId="0" fontId="3" fillId="7" borderId="1" xfId="4" applyFont="1" applyFill="1" applyBorder="1" applyAlignment="1">
      <alignment horizontal="right" vertical="center"/>
    </xf>
    <xf numFmtId="0" fontId="20" fillId="3" borderId="0" xfId="4" applyFont="1" applyFill="1" applyAlignment="1">
      <alignment vertical="center"/>
    </xf>
    <xf numFmtId="0" fontId="3" fillId="3" borderId="0" xfId="4" applyFont="1" applyFill="1" applyAlignment="1">
      <alignment vertical="center"/>
    </xf>
    <xf numFmtId="0" fontId="3" fillId="3" borderId="0" xfId="4" applyFont="1" applyFill="1" applyAlignment="1" applyProtection="1">
      <alignment horizontal="center" vertical="center"/>
      <protection locked="0"/>
    </xf>
    <xf numFmtId="0" fontId="3" fillId="3" borderId="0" xfId="4" applyFont="1" applyFill="1" applyAlignment="1" applyProtection="1">
      <alignment vertical="center" shrinkToFit="1"/>
      <protection locked="0"/>
    </xf>
    <xf numFmtId="0" fontId="26" fillId="3" borderId="0" xfId="4" applyFont="1" applyFill="1" applyAlignment="1">
      <alignment vertical="center"/>
    </xf>
    <xf numFmtId="0" fontId="12" fillId="8" borderId="1" xfId="0" applyFont="1" applyFill="1" applyBorder="1">
      <alignment vertical="center"/>
    </xf>
    <xf numFmtId="0" fontId="12" fillId="8" borderId="5" xfId="0" applyFont="1" applyFill="1" applyBorder="1">
      <alignment vertical="center"/>
    </xf>
    <xf numFmtId="0" fontId="12" fillId="8" borderId="7" xfId="0" applyFont="1" applyFill="1" applyBorder="1">
      <alignment vertical="center"/>
    </xf>
    <xf numFmtId="176" fontId="12" fillId="0" borderId="1" xfId="0" applyNumberFormat="1" applyFont="1" applyBorder="1">
      <alignment vertical="center"/>
    </xf>
    <xf numFmtId="0" fontId="7" fillId="8" borderId="1" xfId="4" applyFont="1" applyFill="1" applyBorder="1" applyAlignment="1">
      <alignment horizontal="center" vertical="center" wrapText="1"/>
    </xf>
    <xf numFmtId="0" fontId="12" fillId="8" borderId="3" xfId="4" applyFont="1" applyFill="1" applyBorder="1" applyAlignment="1">
      <alignment horizontal="centerContinuous" vertical="center" shrinkToFit="1"/>
    </xf>
    <xf numFmtId="0" fontId="12" fillId="8" borderId="2" xfId="4" applyFont="1" applyFill="1" applyBorder="1" applyAlignment="1">
      <alignment horizontal="centerContinuous" vertical="center" shrinkToFit="1"/>
    </xf>
    <xf numFmtId="184" fontId="3" fillId="3" borderId="1" xfId="0" applyNumberFormat="1" applyFont="1" applyFill="1" applyBorder="1">
      <alignment vertical="center"/>
    </xf>
    <xf numFmtId="0" fontId="19" fillId="3" borderId="0" xfId="1" applyFill="1">
      <alignment vertical="center"/>
    </xf>
    <xf numFmtId="0" fontId="3" fillId="3" borderId="0" xfId="4" applyFont="1" applyFill="1" applyAlignment="1">
      <alignment vertical="center" shrinkToFit="1"/>
    </xf>
    <xf numFmtId="193" fontId="3" fillId="3" borderId="1" xfId="0" applyNumberFormat="1" applyFont="1" applyFill="1" applyBorder="1">
      <alignment vertical="center"/>
    </xf>
    <xf numFmtId="0" fontId="3" fillId="5" borderId="4" xfId="0" applyFont="1" applyFill="1" applyBorder="1" applyAlignment="1">
      <alignment horizontal="centerContinuous" vertical="center" wrapText="1"/>
    </xf>
    <xf numFmtId="0" fontId="3" fillId="5" borderId="2" xfId="0" applyFont="1" applyFill="1" applyBorder="1" applyAlignment="1">
      <alignment horizontal="centerContinuous" vertical="center" wrapText="1"/>
    </xf>
    <xf numFmtId="0" fontId="3" fillId="5" borderId="4" xfId="0" applyFont="1" applyFill="1" applyBorder="1" applyAlignment="1">
      <alignment horizontal="center" vertical="center" wrapText="1"/>
    </xf>
    <xf numFmtId="0" fontId="7" fillId="5" borderId="3" xfId="0" applyFont="1" applyFill="1" applyBorder="1">
      <alignment vertical="center"/>
    </xf>
    <xf numFmtId="0" fontId="31" fillId="3" borderId="0" xfId="0" applyFont="1" applyFill="1">
      <alignment vertical="center"/>
    </xf>
    <xf numFmtId="0" fontId="30" fillId="3" borderId="0" xfId="0" applyFont="1" applyFill="1">
      <alignment vertical="center"/>
    </xf>
    <xf numFmtId="0" fontId="3" fillId="8" borderId="3" xfId="4" applyFont="1" applyFill="1" applyBorder="1" applyAlignment="1">
      <alignment vertical="center" wrapText="1"/>
    </xf>
    <xf numFmtId="0" fontId="3" fillId="8" borderId="3" xfId="0" applyFont="1" applyFill="1" applyBorder="1">
      <alignment vertical="center"/>
    </xf>
    <xf numFmtId="0" fontId="3" fillId="3" borderId="0" xfId="4" applyFont="1" applyFill="1" applyAlignment="1" applyProtection="1">
      <alignment vertical="center"/>
      <protection locked="0"/>
    </xf>
    <xf numFmtId="0" fontId="3" fillId="5" borderId="5" xfId="0" applyFont="1" applyFill="1" applyBorder="1" applyAlignment="1">
      <alignment horizontal="center" vertical="center"/>
    </xf>
    <xf numFmtId="180" fontId="15" fillId="3" borderId="2" xfId="0" applyNumberFormat="1" applyFont="1" applyFill="1" applyBorder="1">
      <alignment vertical="center"/>
    </xf>
    <xf numFmtId="0" fontId="0" fillId="9" borderId="0" xfId="0" applyFill="1">
      <alignment vertical="center"/>
    </xf>
    <xf numFmtId="0" fontId="20" fillId="9" borderId="0" xfId="0" applyFont="1" applyFill="1">
      <alignment vertical="center"/>
    </xf>
    <xf numFmtId="0" fontId="3" fillId="2" borderId="1" xfId="0" quotePrefix="1" applyFont="1" applyFill="1" applyBorder="1">
      <alignment vertical="center"/>
    </xf>
    <xf numFmtId="0" fontId="3" fillId="8" borderId="1" xfId="0" applyFont="1" applyFill="1" applyBorder="1" applyAlignment="1">
      <alignment horizontal="center" vertical="center" shrinkToFit="1"/>
    </xf>
    <xf numFmtId="0" fontId="3" fillId="5" borderId="1" xfId="0" applyFont="1" applyFill="1" applyBorder="1" applyAlignment="1">
      <alignment horizontal="center" vertical="center" shrinkToFit="1"/>
    </xf>
    <xf numFmtId="0" fontId="3" fillId="7" borderId="1" xfId="0" applyFont="1" applyFill="1" applyBorder="1" applyAlignment="1">
      <alignment horizontal="center" vertical="center" shrinkToFit="1"/>
    </xf>
    <xf numFmtId="0" fontId="0" fillId="4" borderId="0" xfId="0" applyFill="1">
      <alignment vertical="center"/>
    </xf>
    <xf numFmtId="0" fontId="20" fillId="4" borderId="0" xfId="0" applyFont="1" applyFill="1">
      <alignment vertical="center"/>
    </xf>
    <xf numFmtId="0" fontId="12" fillId="5" borderId="16" xfId="0" applyFont="1" applyFill="1" applyBorder="1" applyAlignment="1">
      <alignment horizontal="center" vertical="center"/>
    </xf>
    <xf numFmtId="0" fontId="12" fillId="7" borderId="16" xfId="0" applyFont="1" applyFill="1" applyBorder="1" applyAlignment="1">
      <alignment horizontal="center" vertical="center"/>
    </xf>
    <xf numFmtId="0" fontId="3" fillId="2" borderId="3" xfId="0" applyFont="1" applyFill="1" applyBorder="1">
      <alignment vertical="center"/>
    </xf>
    <xf numFmtId="180" fontId="3" fillId="0" borderId="2" xfId="0" applyNumberFormat="1" applyFont="1" applyBorder="1">
      <alignment vertical="center"/>
    </xf>
    <xf numFmtId="0" fontId="3" fillId="0" borderId="22" xfId="0" applyFont="1" applyBorder="1">
      <alignment vertical="center"/>
    </xf>
    <xf numFmtId="0" fontId="3" fillId="0" borderId="23" xfId="0" applyFont="1" applyBorder="1">
      <alignment vertical="center"/>
    </xf>
    <xf numFmtId="0" fontId="3" fillId="0" borderId="22" xfId="0" applyFont="1" applyBorder="1" applyAlignment="1">
      <alignment horizontal="center" vertical="center"/>
    </xf>
    <xf numFmtId="0" fontId="0" fillId="12" borderId="0" xfId="0" applyFill="1">
      <alignment vertical="center"/>
    </xf>
    <xf numFmtId="0" fontId="20" fillId="12" borderId="0" xfId="0" applyFont="1" applyFill="1">
      <alignment vertical="center"/>
    </xf>
    <xf numFmtId="0" fontId="3" fillId="5" borderId="5" xfId="0" applyFont="1" applyFill="1" applyBorder="1" applyAlignment="1">
      <alignment horizontal="centerContinuous" vertical="center"/>
    </xf>
    <xf numFmtId="0" fontId="3" fillId="7" borderId="5" xfId="0" applyFont="1" applyFill="1" applyBorder="1" applyAlignment="1">
      <alignment horizontal="centerContinuous" vertical="center"/>
    </xf>
    <xf numFmtId="0" fontId="3" fillId="8" borderId="1" xfId="0" applyFont="1" applyFill="1" applyBorder="1" applyAlignment="1">
      <alignment horizontal="centerContinuous" vertical="center"/>
    </xf>
    <xf numFmtId="0" fontId="3" fillId="5" borderId="3"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7" borderId="3" xfId="0" applyFont="1" applyFill="1" applyBorder="1" applyAlignment="1">
      <alignment horizontal="center" vertical="center"/>
    </xf>
    <xf numFmtId="0" fontId="3" fillId="7" borderId="18"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5" borderId="20" xfId="0" applyFont="1" applyFill="1" applyBorder="1" applyAlignment="1">
      <alignment horizontal="center" vertical="center"/>
    </xf>
    <xf numFmtId="0" fontId="3" fillId="5" borderId="21"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1" xfId="0" applyFont="1" applyFill="1" applyBorder="1" applyAlignment="1">
      <alignment horizontal="center" vertical="center"/>
    </xf>
    <xf numFmtId="0" fontId="3" fillId="7" borderId="2" xfId="0" applyFont="1" applyFill="1" applyBorder="1" applyAlignment="1">
      <alignment horizontal="center" vertical="center"/>
    </xf>
    <xf numFmtId="180" fontId="3" fillId="0" borderId="3" xfId="0" applyNumberFormat="1" applyFont="1" applyBorder="1">
      <alignment vertical="center"/>
    </xf>
    <xf numFmtId="0" fontId="3" fillId="7" borderId="5" xfId="0" applyFont="1" applyFill="1" applyBorder="1" applyAlignment="1">
      <alignment horizontal="center" vertical="center"/>
    </xf>
    <xf numFmtId="0" fontId="3" fillId="7" borderId="5" xfId="0" applyFont="1" applyFill="1" applyBorder="1" applyAlignment="1">
      <alignment horizontal="center" vertical="center" wrapText="1"/>
    </xf>
    <xf numFmtId="176" fontId="3" fillId="3" borderId="3" xfId="0" applyNumberFormat="1" applyFont="1" applyFill="1" applyBorder="1">
      <alignment vertical="center"/>
    </xf>
    <xf numFmtId="176" fontId="3" fillId="3" borderId="9" xfId="0" applyNumberFormat="1" applyFont="1" applyFill="1" applyBorder="1">
      <alignment vertical="center"/>
    </xf>
    <xf numFmtId="176" fontId="3" fillId="3" borderId="25" xfId="0" applyNumberFormat="1" applyFont="1" applyFill="1" applyBorder="1">
      <alignment vertical="center"/>
    </xf>
    <xf numFmtId="176" fontId="3" fillId="3" borderId="26" xfId="0" applyNumberFormat="1" applyFont="1" applyFill="1" applyBorder="1">
      <alignment vertical="center"/>
    </xf>
    <xf numFmtId="176" fontId="3" fillId="3" borderId="27" xfId="0" applyNumberFormat="1" applyFont="1" applyFill="1" applyBorder="1">
      <alignment vertical="center"/>
    </xf>
    <xf numFmtId="0" fontId="3" fillId="3" borderId="12" xfId="0" applyFont="1" applyFill="1" applyBorder="1">
      <alignment vertical="center"/>
    </xf>
    <xf numFmtId="0" fontId="3" fillId="3" borderId="13" xfId="0" applyFont="1" applyFill="1" applyBorder="1">
      <alignment vertical="center"/>
    </xf>
    <xf numFmtId="180" fontId="3" fillId="0" borderId="4" xfId="0" applyNumberFormat="1" applyFont="1" applyBorder="1">
      <alignment vertical="center"/>
    </xf>
    <xf numFmtId="0" fontId="3" fillId="2" borderId="28" xfId="0" applyFont="1" applyFill="1" applyBorder="1">
      <alignment vertical="center"/>
    </xf>
    <xf numFmtId="176" fontId="3" fillId="2" borderId="28" xfId="0" applyNumberFormat="1" applyFont="1" applyFill="1" applyBorder="1">
      <alignment vertical="center"/>
    </xf>
    <xf numFmtId="183" fontId="3" fillId="2" borderId="28" xfId="0" applyNumberFormat="1" applyFont="1" applyFill="1" applyBorder="1">
      <alignment vertical="center"/>
    </xf>
    <xf numFmtId="0" fontId="0" fillId="11" borderId="0" xfId="0" applyFill="1">
      <alignment vertical="center"/>
    </xf>
    <xf numFmtId="0" fontId="20" fillId="11" borderId="0" xfId="0" applyFont="1" applyFill="1">
      <alignment vertical="center"/>
    </xf>
    <xf numFmtId="0" fontId="12" fillId="9" borderId="1" xfId="0" applyFont="1" applyFill="1" applyBorder="1">
      <alignment vertical="center"/>
    </xf>
    <xf numFmtId="9" fontId="0" fillId="11" borderId="0" xfId="7" applyFont="1" applyFill="1">
      <alignment vertical="center"/>
    </xf>
    <xf numFmtId="9" fontId="3" fillId="3" borderId="3" xfId="7" applyFont="1" applyFill="1" applyBorder="1" applyAlignment="1">
      <alignment vertical="center"/>
    </xf>
    <xf numFmtId="9" fontId="3" fillId="3" borderId="2" xfId="7" applyFont="1" applyFill="1" applyBorder="1" applyAlignment="1">
      <alignment vertical="center"/>
    </xf>
    <xf numFmtId="9" fontId="3" fillId="3" borderId="4" xfId="7" applyFont="1" applyFill="1" applyBorder="1">
      <alignment vertical="center"/>
    </xf>
    <xf numFmtId="9" fontId="3" fillId="3" borderId="2" xfId="7" applyFont="1" applyFill="1" applyBorder="1">
      <alignment vertical="center"/>
    </xf>
    <xf numFmtId="177" fontId="3" fillId="3" borderId="3" xfId="7" applyNumberFormat="1" applyFont="1" applyFill="1" applyBorder="1">
      <alignment vertical="center"/>
    </xf>
    <xf numFmtId="0" fontId="3" fillId="3" borderId="8" xfId="0" applyFont="1" applyFill="1" applyBorder="1">
      <alignment vertical="center"/>
    </xf>
    <xf numFmtId="0" fontId="3" fillId="3" borderId="11" xfId="0" applyFont="1" applyFill="1" applyBorder="1">
      <alignment vertical="center"/>
    </xf>
    <xf numFmtId="0" fontId="3" fillId="3" borderId="9" xfId="0" applyFont="1" applyFill="1" applyBorder="1">
      <alignment vertical="center"/>
    </xf>
    <xf numFmtId="0" fontId="3" fillId="3" borderId="10" xfId="0" applyFont="1" applyFill="1" applyBorder="1">
      <alignment vertical="center"/>
    </xf>
    <xf numFmtId="177" fontId="3" fillId="3" borderId="9" xfId="0" applyNumberFormat="1" applyFont="1" applyFill="1" applyBorder="1">
      <alignment vertical="center"/>
    </xf>
    <xf numFmtId="0" fontId="3" fillId="3" borderId="30" xfId="0" applyFont="1" applyFill="1" applyBorder="1">
      <alignment vertical="center"/>
    </xf>
    <xf numFmtId="0" fontId="3" fillId="3" borderId="31" xfId="0" applyFont="1" applyFill="1" applyBorder="1">
      <alignment vertical="center"/>
    </xf>
    <xf numFmtId="177" fontId="3" fillId="3" borderId="19" xfId="0" applyNumberFormat="1" applyFont="1" applyFill="1" applyBorder="1">
      <alignment vertical="center"/>
    </xf>
    <xf numFmtId="0" fontId="3" fillId="3" borderId="34" xfId="0" applyFont="1" applyFill="1" applyBorder="1">
      <alignment vertical="center"/>
    </xf>
    <xf numFmtId="0" fontId="3" fillId="3" borderId="35" xfId="0" applyFont="1" applyFill="1" applyBorder="1">
      <alignment vertical="center"/>
    </xf>
    <xf numFmtId="9" fontId="3" fillId="3" borderId="9" xfId="7" applyFont="1" applyFill="1" applyBorder="1" applyAlignment="1">
      <alignment vertical="center"/>
    </xf>
    <xf numFmtId="9" fontId="3" fillId="3" borderId="10" xfId="7" applyFont="1" applyFill="1" applyBorder="1" applyAlignment="1">
      <alignment vertical="center"/>
    </xf>
    <xf numFmtId="177" fontId="3" fillId="3" borderId="9" xfId="7" applyNumberFormat="1" applyFont="1" applyFill="1" applyBorder="1">
      <alignment vertical="center"/>
    </xf>
    <xf numFmtId="9" fontId="3" fillId="3" borderId="30" xfId="7" applyFont="1" applyFill="1" applyBorder="1" applyAlignment="1">
      <alignment vertical="center"/>
    </xf>
    <xf numFmtId="9" fontId="3" fillId="3" borderId="31" xfId="7" applyFont="1" applyFill="1" applyBorder="1" applyAlignment="1">
      <alignment vertical="center"/>
    </xf>
    <xf numFmtId="177" fontId="3" fillId="3" borderId="19" xfId="7" applyNumberFormat="1" applyFont="1" applyFill="1" applyBorder="1">
      <alignment vertical="center"/>
    </xf>
    <xf numFmtId="9" fontId="3" fillId="3" borderId="34" xfId="7" applyFont="1" applyFill="1" applyBorder="1" applyAlignment="1">
      <alignment vertical="center"/>
    </xf>
    <xf numFmtId="9" fontId="3" fillId="3" borderId="35" xfId="7" applyFont="1" applyFill="1" applyBorder="1" applyAlignment="1">
      <alignment vertical="center"/>
    </xf>
    <xf numFmtId="185" fontId="3" fillId="3" borderId="21" xfId="0" applyNumberFormat="1" applyFont="1" applyFill="1" applyBorder="1">
      <alignment vertical="center"/>
    </xf>
    <xf numFmtId="185" fontId="3" fillId="3" borderId="21" xfId="7" applyNumberFormat="1" applyFont="1" applyFill="1" applyBorder="1">
      <alignment vertical="center"/>
    </xf>
    <xf numFmtId="185" fontId="3" fillId="3" borderId="3" xfId="7" applyNumberFormat="1" applyFont="1" applyFill="1" applyBorder="1">
      <alignment vertical="center"/>
    </xf>
    <xf numFmtId="185" fontId="3" fillId="3" borderId="23" xfId="0" applyNumberFormat="1" applyFont="1" applyFill="1" applyBorder="1">
      <alignment vertical="center"/>
    </xf>
    <xf numFmtId="185" fontId="3" fillId="3" borderId="3" xfId="0" applyNumberFormat="1" applyFont="1" applyFill="1" applyBorder="1">
      <alignment vertical="center"/>
    </xf>
    <xf numFmtId="185" fontId="3" fillId="3" borderId="8" xfId="0" applyNumberFormat="1" applyFont="1" applyFill="1" applyBorder="1">
      <alignment vertical="center"/>
    </xf>
    <xf numFmtId="185" fontId="3" fillId="3" borderId="23" xfId="7" applyNumberFormat="1" applyFont="1" applyFill="1" applyBorder="1">
      <alignment vertical="center"/>
    </xf>
    <xf numFmtId="0" fontId="0" fillId="13" borderId="0" xfId="0" applyFill="1">
      <alignment vertical="center"/>
    </xf>
    <xf numFmtId="0" fontId="20" fillId="13" borderId="0" xfId="0" applyFont="1" applyFill="1">
      <alignment vertical="center"/>
    </xf>
    <xf numFmtId="0" fontId="3" fillId="3" borderId="4" xfId="0" applyFont="1" applyFill="1" applyBorder="1" applyAlignment="1">
      <alignment horizontal="left" vertical="center"/>
    </xf>
    <xf numFmtId="187" fontId="3" fillId="3" borderId="2" xfId="0" applyNumberFormat="1" applyFont="1" applyFill="1" applyBorder="1" applyAlignment="1">
      <alignment horizontal="left" vertical="center"/>
    </xf>
    <xf numFmtId="0" fontId="3" fillId="3" borderId="4" xfId="0" applyFont="1" applyFill="1" applyBorder="1" applyAlignment="1">
      <alignment horizontal="center" vertical="center"/>
    </xf>
    <xf numFmtId="195" fontId="3" fillId="3" borderId="2" xfId="0" applyNumberFormat="1" applyFont="1" applyFill="1" applyBorder="1" applyAlignment="1">
      <alignment horizontal="left" vertical="center"/>
    </xf>
    <xf numFmtId="0" fontId="3" fillId="3" borderId="4" xfId="0" quotePrefix="1" applyFont="1" applyFill="1" applyBorder="1" applyAlignment="1">
      <alignment horizontal="center" vertical="center"/>
    </xf>
    <xf numFmtId="0" fontId="0" fillId="14" borderId="0" xfId="0" applyFill="1">
      <alignment vertical="center"/>
    </xf>
    <xf numFmtId="0" fontId="20" fillId="14" borderId="0" xfId="0" applyFont="1" applyFill="1">
      <alignment vertical="center"/>
    </xf>
    <xf numFmtId="0" fontId="0" fillId="15" borderId="0" xfId="0" applyFill="1">
      <alignment vertical="center"/>
    </xf>
    <xf numFmtId="0" fontId="20" fillId="15" borderId="0" xfId="0" applyFont="1" applyFill="1">
      <alignment vertical="center"/>
    </xf>
    <xf numFmtId="0" fontId="0" fillId="16" borderId="0" xfId="0" applyFill="1">
      <alignment vertical="center"/>
    </xf>
    <xf numFmtId="0" fontId="20" fillId="16" borderId="0" xfId="0" applyFont="1" applyFill="1">
      <alignment vertical="center"/>
    </xf>
    <xf numFmtId="0" fontId="3" fillId="8" borderId="3" xfId="4" applyFont="1" applyFill="1" applyBorder="1" applyAlignment="1">
      <alignment horizontal="center" vertical="center"/>
    </xf>
    <xf numFmtId="184" fontId="3" fillId="9" borderId="1" xfId="0" applyNumberFormat="1" applyFont="1" applyFill="1" applyBorder="1">
      <alignment vertical="center"/>
    </xf>
    <xf numFmtId="0" fontId="12" fillId="9" borderId="0" xfId="0" applyFont="1" applyFill="1">
      <alignment vertical="center"/>
    </xf>
    <xf numFmtId="0" fontId="12" fillId="3" borderId="1" xfId="0" applyFont="1" applyFill="1" applyBorder="1" applyAlignment="1">
      <alignment horizontal="center" vertical="center"/>
    </xf>
    <xf numFmtId="183" fontId="12" fillId="3" borderId="1" xfId="0" applyNumberFormat="1" applyFont="1" applyFill="1" applyBorder="1" applyAlignment="1">
      <alignment horizontal="center" vertical="center"/>
    </xf>
    <xf numFmtId="9" fontId="12" fillId="0" borderId="1" xfId="0" applyNumberFormat="1" applyFont="1" applyBorder="1">
      <alignment vertical="center"/>
    </xf>
    <xf numFmtId="184" fontId="12" fillId="3" borderId="1" xfId="0" applyNumberFormat="1" applyFont="1" applyFill="1" applyBorder="1">
      <alignment vertical="center"/>
    </xf>
    <xf numFmtId="0" fontId="12" fillId="5" borderId="1" xfId="4" applyFont="1" applyFill="1" applyBorder="1" applyAlignment="1">
      <alignment horizontal="center" vertical="center"/>
    </xf>
    <xf numFmtId="0" fontId="12" fillId="5" borderId="3" xfId="4" applyFont="1" applyFill="1" applyBorder="1" applyAlignment="1">
      <alignment vertical="center"/>
    </xf>
    <xf numFmtId="0" fontId="12" fillId="5" borderId="4" xfId="4" applyFont="1" applyFill="1" applyBorder="1" applyAlignment="1">
      <alignment vertical="center"/>
    </xf>
    <xf numFmtId="0" fontId="12" fillId="5" borderId="2" xfId="4" applyFont="1" applyFill="1" applyBorder="1" applyAlignment="1">
      <alignment vertical="center"/>
    </xf>
    <xf numFmtId="0" fontId="12" fillId="4" borderId="1" xfId="0" applyFont="1" applyFill="1" applyBorder="1" applyAlignment="1">
      <alignment horizontal="center" vertical="center"/>
    </xf>
    <xf numFmtId="176" fontId="12" fillId="3" borderId="1" xfId="0" applyNumberFormat="1" applyFont="1" applyFill="1" applyBorder="1">
      <alignment vertical="center"/>
    </xf>
    <xf numFmtId="0" fontId="12" fillId="3" borderId="5" xfId="0" applyFont="1" applyFill="1" applyBorder="1" applyAlignment="1">
      <alignment horizontal="center" vertical="center"/>
    </xf>
    <xf numFmtId="0" fontId="12" fillId="3" borderId="1" xfId="0" applyFont="1" applyFill="1" applyBorder="1">
      <alignment vertical="center"/>
    </xf>
    <xf numFmtId="180" fontId="12" fillId="3" borderId="1" xfId="0" applyNumberFormat="1" applyFont="1" applyFill="1" applyBorder="1">
      <alignment vertical="center"/>
    </xf>
    <xf numFmtId="180" fontId="12" fillId="2" borderId="1" xfId="0" applyNumberFormat="1" applyFont="1" applyFill="1" applyBorder="1">
      <alignment vertical="center"/>
    </xf>
    <xf numFmtId="177" fontId="12" fillId="2" borderId="1" xfId="0" applyNumberFormat="1" applyFont="1" applyFill="1" applyBorder="1">
      <alignment vertical="center"/>
    </xf>
    <xf numFmtId="0" fontId="12" fillId="3" borderId="0" xfId="0" applyFont="1" applyFill="1" applyAlignment="1">
      <alignment horizontal="centerContinuous" vertical="center"/>
    </xf>
    <xf numFmtId="0" fontId="29" fillId="3" borderId="0" xfId="4" applyFont="1" applyFill="1" applyAlignment="1">
      <alignment vertical="center"/>
    </xf>
    <xf numFmtId="0" fontId="20" fillId="3" borderId="0" xfId="4" applyFont="1" applyFill="1" applyAlignment="1">
      <alignment vertical="center" shrinkToFit="1"/>
    </xf>
    <xf numFmtId="0" fontId="20" fillId="3" borderId="0" xfId="4" applyFont="1" applyFill="1" applyAlignment="1" applyProtection="1">
      <alignment vertical="center"/>
      <protection locked="0"/>
    </xf>
    <xf numFmtId="0" fontId="20" fillId="3" borderId="0" xfId="4" applyFont="1" applyFill="1" applyAlignment="1" applyProtection="1">
      <alignment vertical="center" shrinkToFit="1"/>
      <protection locked="0"/>
    </xf>
    <xf numFmtId="0" fontId="0" fillId="20" borderId="0" xfId="0" applyFill="1">
      <alignment vertical="center"/>
    </xf>
    <xf numFmtId="0" fontId="3" fillId="3" borderId="23" xfId="0" applyFont="1" applyFill="1" applyBorder="1">
      <alignment vertical="center"/>
    </xf>
    <xf numFmtId="0" fontId="12" fillId="3" borderId="0" xfId="4" applyFont="1" applyFill="1" applyAlignment="1">
      <alignment horizontal="center" vertical="center"/>
    </xf>
    <xf numFmtId="9" fontId="3" fillId="8" borderId="1" xfId="5" applyFont="1" applyFill="1" applyBorder="1" applyAlignment="1" applyProtection="1">
      <alignment horizontal="center" vertical="center"/>
    </xf>
    <xf numFmtId="0" fontId="12" fillId="20" borderId="0" xfId="0" applyFont="1" applyFill="1">
      <alignment vertical="center"/>
    </xf>
    <xf numFmtId="9" fontId="12" fillId="2" borderId="1" xfId="0" applyNumberFormat="1" applyFont="1" applyFill="1" applyBorder="1">
      <alignment vertical="center"/>
    </xf>
    <xf numFmtId="0" fontId="12" fillId="5" borderId="3" xfId="0" applyFont="1" applyFill="1" applyBorder="1" applyAlignment="1">
      <alignment horizontal="center" vertical="center" wrapText="1"/>
    </xf>
    <xf numFmtId="0" fontId="35" fillId="19" borderId="1"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5" borderId="3" xfId="0" applyFont="1" applyFill="1" applyBorder="1" applyAlignment="1">
      <alignment horizontal="center" vertical="center"/>
    </xf>
    <xf numFmtId="0" fontId="12" fillId="19" borderId="1" xfId="0" applyFont="1" applyFill="1" applyBorder="1" applyAlignment="1">
      <alignment horizontal="center" vertical="center"/>
    </xf>
    <xf numFmtId="0" fontId="12" fillId="8" borderId="1" xfId="0" applyFont="1" applyFill="1" applyBorder="1" applyAlignment="1">
      <alignment vertical="center" wrapText="1"/>
    </xf>
    <xf numFmtId="180" fontId="36" fillId="2" borderId="1" xfId="0" applyNumberFormat="1" applyFont="1" applyFill="1" applyBorder="1">
      <alignment vertical="center"/>
    </xf>
    <xf numFmtId="180" fontId="36" fillId="2" borderId="1" xfId="0" applyNumberFormat="1" applyFont="1" applyFill="1" applyBorder="1" applyAlignment="1">
      <alignment vertical="center" shrinkToFit="1"/>
    </xf>
    <xf numFmtId="177" fontId="36" fillId="2" borderId="1" xfId="0" applyNumberFormat="1" applyFont="1" applyFill="1" applyBorder="1">
      <alignment vertical="center"/>
    </xf>
    <xf numFmtId="193" fontId="36" fillId="18" borderId="1" xfId="0" applyNumberFormat="1" applyFont="1" applyFill="1" applyBorder="1">
      <alignment vertical="center"/>
    </xf>
    <xf numFmtId="193" fontId="36" fillId="3" borderId="1" xfId="0" applyNumberFormat="1" applyFont="1" applyFill="1" applyBorder="1">
      <alignment vertical="center"/>
    </xf>
    <xf numFmtId="0" fontId="12" fillId="3" borderId="6" xfId="0" applyFont="1" applyFill="1" applyBorder="1">
      <alignment vertical="center"/>
    </xf>
    <xf numFmtId="0" fontId="12" fillId="3" borderId="7" xfId="0" applyFont="1" applyFill="1" applyBorder="1">
      <alignment vertical="center"/>
    </xf>
    <xf numFmtId="180" fontId="12" fillId="0" borderId="1" xfId="0" applyNumberFormat="1" applyFont="1" applyBorder="1">
      <alignment vertical="center"/>
    </xf>
    <xf numFmtId="179" fontId="12" fillId="0" borderId="1" xfId="0" applyNumberFormat="1" applyFont="1" applyBorder="1">
      <alignment vertical="center"/>
    </xf>
    <xf numFmtId="0" fontId="12" fillId="5" borderId="8" xfId="0" applyFont="1" applyFill="1" applyBorder="1">
      <alignment vertical="center"/>
    </xf>
    <xf numFmtId="0" fontId="12" fillId="5" borderId="12" xfId="0" applyFont="1" applyFill="1" applyBorder="1">
      <alignment vertical="center"/>
    </xf>
    <xf numFmtId="0" fontId="12" fillId="5" borderId="4" xfId="0" applyFont="1" applyFill="1" applyBorder="1">
      <alignment vertical="center"/>
    </xf>
    <xf numFmtId="0" fontId="12" fillId="5" borderId="2" xfId="0" applyFont="1" applyFill="1" applyBorder="1">
      <alignment vertical="center"/>
    </xf>
    <xf numFmtId="0" fontId="12" fillId="7" borderId="8" xfId="0" applyFont="1" applyFill="1" applyBorder="1">
      <alignment vertical="center"/>
    </xf>
    <xf numFmtId="0" fontId="12" fillId="7" borderId="12" xfId="0" applyFont="1" applyFill="1" applyBorder="1">
      <alignment vertical="center"/>
    </xf>
    <xf numFmtId="0" fontId="12" fillId="7" borderId="4" xfId="0" applyFont="1" applyFill="1" applyBorder="1">
      <alignment vertical="center"/>
    </xf>
    <xf numFmtId="0" fontId="12" fillId="7" borderId="2" xfId="0" applyFont="1" applyFill="1" applyBorder="1">
      <alignment vertical="center"/>
    </xf>
    <xf numFmtId="0" fontId="12" fillId="8" borderId="8" xfId="0" applyFont="1" applyFill="1" applyBorder="1">
      <alignment vertical="center"/>
    </xf>
    <xf numFmtId="0" fontId="12" fillId="8" borderId="11" xfId="0" applyFont="1" applyFill="1" applyBorder="1">
      <alignment vertical="center"/>
    </xf>
    <xf numFmtId="0" fontId="12" fillId="5" borderId="9" xfId="0" applyFont="1" applyFill="1" applyBorder="1">
      <alignment vertical="center"/>
    </xf>
    <xf numFmtId="0" fontId="12" fillId="5" borderId="15" xfId="0" applyFont="1" applyFill="1" applyBorder="1">
      <alignment vertical="center"/>
    </xf>
    <xf numFmtId="0" fontId="12" fillId="5" borderId="10" xfId="0" applyFont="1" applyFill="1" applyBorder="1">
      <alignment vertical="center"/>
    </xf>
    <xf numFmtId="0" fontId="12" fillId="5" borderId="3"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3" xfId="0" applyFont="1" applyFill="1" applyBorder="1">
      <alignment vertical="center"/>
    </xf>
    <xf numFmtId="0" fontId="12" fillId="7" borderId="3" xfId="0" applyFont="1" applyFill="1" applyBorder="1" applyAlignment="1">
      <alignment vertical="center" wrapText="1"/>
    </xf>
    <xf numFmtId="0" fontId="12" fillId="8" borderId="9" xfId="0" applyFont="1" applyFill="1" applyBorder="1">
      <alignment vertical="center"/>
    </xf>
    <xf numFmtId="0" fontId="12" fillId="8" borderId="10" xfId="0" applyFont="1" applyFill="1" applyBorder="1">
      <alignment vertical="center"/>
    </xf>
    <xf numFmtId="0" fontId="12" fillId="10" borderId="1" xfId="0" applyFont="1" applyFill="1" applyBorder="1">
      <alignment vertical="center"/>
    </xf>
    <xf numFmtId="177" fontId="12" fillId="3" borderId="0" xfId="0" applyNumberFormat="1" applyFont="1" applyFill="1">
      <alignment vertical="center"/>
    </xf>
    <xf numFmtId="0" fontId="12" fillId="8" borderId="12" xfId="0" applyFont="1" applyFill="1" applyBorder="1">
      <alignment vertical="center"/>
    </xf>
    <xf numFmtId="0" fontId="12" fillId="8" borderId="15" xfId="0" applyFont="1" applyFill="1" applyBorder="1">
      <alignment vertical="center"/>
    </xf>
    <xf numFmtId="0" fontId="12" fillId="3" borderId="0" xfId="4" applyFont="1" applyFill="1" applyAlignment="1">
      <alignment vertical="center"/>
    </xf>
    <xf numFmtId="0" fontId="32" fillId="3" borderId="0" xfId="4" applyFont="1" applyFill="1" applyAlignment="1">
      <alignment vertical="center"/>
    </xf>
    <xf numFmtId="0" fontId="12" fillId="0" borderId="0" xfId="4" applyFont="1" applyAlignment="1">
      <alignment vertical="center"/>
    </xf>
    <xf numFmtId="9" fontId="12" fillId="8" borderId="1" xfId="5" applyFont="1" applyFill="1" applyBorder="1" applyAlignment="1">
      <alignment horizontal="center" vertical="center"/>
    </xf>
    <xf numFmtId="0" fontId="36" fillId="8" borderId="1" xfId="4" applyFont="1" applyFill="1" applyBorder="1" applyAlignment="1">
      <alignment horizontal="center" vertical="center" wrapText="1"/>
    </xf>
    <xf numFmtId="0" fontId="12" fillId="7" borderId="3" xfId="4" applyFont="1" applyFill="1" applyBorder="1" applyAlignment="1">
      <alignment vertical="center"/>
    </xf>
    <xf numFmtId="0" fontId="12" fillId="7" borderId="4" xfId="4" applyFont="1" applyFill="1" applyBorder="1" applyAlignment="1">
      <alignment vertical="center"/>
    </xf>
    <xf numFmtId="0" fontId="12" fillId="7" borderId="2" xfId="4" applyFont="1" applyFill="1" applyBorder="1" applyAlignment="1">
      <alignment vertical="center"/>
    </xf>
    <xf numFmtId="0" fontId="12" fillId="8" borderId="3" xfId="4" applyFont="1" applyFill="1" applyBorder="1" applyAlignment="1">
      <alignment vertical="center"/>
    </xf>
    <xf numFmtId="0" fontId="12" fillId="8" borderId="2" xfId="4" applyFont="1" applyFill="1" applyBorder="1" applyAlignment="1">
      <alignment vertical="center"/>
    </xf>
    <xf numFmtId="0" fontId="12" fillId="7" borderId="1" xfId="4" applyFont="1" applyFill="1" applyBorder="1" applyAlignment="1">
      <alignment horizontal="center" vertical="center"/>
    </xf>
    <xf numFmtId="0" fontId="12" fillId="8" borderId="1" xfId="4" applyFont="1" applyFill="1" applyBorder="1" applyAlignment="1">
      <alignment horizontal="left" vertical="center" wrapText="1"/>
    </xf>
    <xf numFmtId="0" fontId="12" fillId="5" borderId="1" xfId="4" applyFont="1" applyFill="1" applyBorder="1" applyAlignment="1">
      <alignment vertical="center"/>
    </xf>
    <xf numFmtId="0" fontId="12" fillId="5" borderId="1" xfId="4" applyFont="1" applyFill="1" applyBorder="1" applyAlignment="1">
      <alignment horizontal="left" vertical="center"/>
    </xf>
    <xf numFmtId="0" fontId="12" fillId="5" borderId="1" xfId="4" applyFont="1" applyFill="1" applyBorder="1" applyAlignment="1">
      <alignment horizontal="right" vertical="center"/>
    </xf>
    <xf numFmtId="0" fontId="12" fillId="7" borderId="0" xfId="4" applyFont="1" applyFill="1" applyAlignment="1">
      <alignment vertical="center"/>
    </xf>
    <xf numFmtId="0" fontId="12" fillId="7" borderId="1" xfId="4" applyFont="1" applyFill="1" applyBorder="1" applyAlignment="1">
      <alignment vertical="center"/>
    </xf>
    <xf numFmtId="0" fontId="12" fillId="7" borderId="1" xfId="4" applyFont="1" applyFill="1" applyBorder="1" applyAlignment="1">
      <alignment horizontal="left" vertical="center"/>
    </xf>
    <xf numFmtId="0" fontId="12" fillId="7" borderId="1" xfId="4" applyFont="1" applyFill="1" applyBorder="1" applyAlignment="1">
      <alignment horizontal="right" vertical="center"/>
    </xf>
    <xf numFmtId="0" fontId="12" fillId="0" borderId="1" xfId="4" applyFont="1" applyBorder="1" applyAlignment="1">
      <alignment vertical="center"/>
    </xf>
    <xf numFmtId="0" fontId="32" fillId="0" borderId="1" xfId="4" applyFont="1" applyBorder="1" applyAlignment="1">
      <alignment vertical="center"/>
    </xf>
    <xf numFmtId="0" fontId="12" fillId="0" borderId="1" xfId="4" applyFont="1" applyBorder="1" applyAlignment="1">
      <alignment vertical="center" shrinkToFit="1"/>
    </xf>
    <xf numFmtId="0" fontId="12" fillId="0" borderId="1" xfId="4" applyFont="1" applyBorder="1" applyAlignment="1">
      <alignment horizontal="center" vertical="center"/>
    </xf>
    <xf numFmtId="0" fontId="32" fillId="0" borderId="0" xfId="4" applyFont="1" applyAlignment="1">
      <alignment vertical="center"/>
    </xf>
    <xf numFmtId="189" fontId="12" fillId="0" borderId="1" xfId="6" applyNumberFormat="1" applyFont="1" applyBorder="1" applyAlignment="1" applyProtection="1">
      <alignment horizontal="right" vertical="center"/>
    </xf>
    <xf numFmtId="0" fontId="12" fillId="5" borderId="4" xfId="4" applyFont="1" applyFill="1" applyBorder="1" applyAlignment="1">
      <alignment horizontal="center" vertical="center"/>
    </xf>
    <xf numFmtId="0" fontId="12" fillId="0" borderId="0" xfId="4" applyFont="1" applyAlignment="1">
      <alignment horizontal="center" vertical="center"/>
    </xf>
    <xf numFmtId="0" fontId="12" fillId="3" borderId="0" xfId="4" applyFont="1" applyFill="1"/>
    <xf numFmtId="0" fontId="12" fillId="0" borderId="0" xfId="4" applyFont="1"/>
    <xf numFmtId="0" fontId="32" fillId="3" borderId="0" xfId="4" applyFont="1" applyFill="1"/>
    <xf numFmtId="0" fontId="12" fillId="5" borderId="4" xfId="4" applyFont="1" applyFill="1" applyBorder="1" applyAlignment="1">
      <alignment horizontal="centerContinuous"/>
    </xf>
    <xf numFmtId="0" fontId="12" fillId="5" borderId="2" xfId="4" applyFont="1" applyFill="1" applyBorder="1" applyAlignment="1">
      <alignment horizontal="centerContinuous"/>
    </xf>
    <xf numFmtId="0" fontId="12" fillId="7" borderId="4" xfId="4" applyFont="1" applyFill="1" applyBorder="1" applyAlignment="1">
      <alignment horizontal="centerContinuous"/>
    </xf>
    <xf numFmtId="0" fontId="12" fillId="7" borderId="2" xfId="4" applyFont="1" applyFill="1" applyBorder="1" applyAlignment="1">
      <alignment horizontal="centerContinuous"/>
    </xf>
    <xf numFmtId="0" fontId="12" fillId="8" borderId="2" xfId="4" applyFont="1" applyFill="1" applyBorder="1" applyAlignment="1">
      <alignment horizontal="centerContinuous"/>
    </xf>
    <xf numFmtId="189" fontId="12" fillId="0" borderId="1" xfId="6" applyNumberFormat="1" applyFont="1" applyBorder="1" applyAlignment="1" applyProtection="1">
      <alignment vertical="center"/>
    </xf>
    <xf numFmtId="0" fontId="12" fillId="3" borderId="12" xfId="4" applyFont="1" applyFill="1" applyBorder="1"/>
    <xf numFmtId="0" fontId="12" fillId="3" borderId="12" xfId="4" applyFont="1" applyFill="1" applyBorder="1" applyAlignment="1">
      <alignment wrapText="1"/>
    </xf>
    <xf numFmtId="184" fontId="12" fillId="3" borderId="12" xfId="4" applyNumberFormat="1" applyFont="1" applyFill="1" applyBorder="1"/>
    <xf numFmtId="0" fontId="12" fillId="3" borderId="12" xfId="4" applyFont="1" applyFill="1" applyBorder="1" applyAlignment="1">
      <alignment horizontal="right"/>
    </xf>
    <xf numFmtId="38" fontId="12" fillId="3" borderId="12" xfId="6" applyFont="1" applyFill="1" applyBorder="1" applyAlignment="1" applyProtection="1">
      <alignment horizontal="right"/>
    </xf>
    <xf numFmtId="186" fontId="12" fillId="3" borderId="12" xfId="4" applyNumberFormat="1" applyFont="1" applyFill="1" applyBorder="1" applyAlignment="1">
      <alignment horizontal="right"/>
    </xf>
    <xf numFmtId="38" fontId="36" fillId="3" borderId="12" xfId="6" applyFont="1" applyFill="1" applyBorder="1" applyAlignment="1" applyProtection="1">
      <alignment horizontal="center"/>
    </xf>
    <xf numFmtId="38" fontId="12" fillId="3" borderId="12" xfId="6" applyFont="1" applyFill="1" applyBorder="1" applyAlignment="1" applyProtection="1"/>
    <xf numFmtId="38" fontId="12" fillId="3" borderId="0" xfId="6" applyFont="1" applyFill="1" applyBorder="1" applyAlignment="1" applyProtection="1"/>
    <xf numFmtId="190" fontId="12" fillId="3" borderId="0" xfId="4" applyNumberFormat="1" applyFont="1" applyFill="1" applyAlignment="1">
      <alignment horizontal="right"/>
    </xf>
    <xf numFmtId="0" fontId="12" fillId="5" borderId="4" xfId="4" applyFont="1" applyFill="1" applyBorder="1" applyAlignment="1">
      <alignment horizontal="centerContinuous" vertical="center"/>
    </xf>
    <xf numFmtId="0" fontId="12" fillId="8" borderId="3" xfId="0" applyFont="1" applyFill="1" applyBorder="1">
      <alignment vertical="center"/>
    </xf>
    <xf numFmtId="0" fontId="12" fillId="8" borderId="2" xfId="0" applyFont="1" applyFill="1" applyBorder="1">
      <alignment vertical="center"/>
    </xf>
    <xf numFmtId="0" fontId="12" fillId="3" borderId="0" xfId="0" applyFont="1" applyFill="1" applyAlignment="1">
      <alignment horizontal="center" vertical="center" wrapText="1"/>
    </xf>
    <xf numFmtId="180" fontId="32" fillId="3" borderId="0" xfId="0" applyNumberFormat="1" applyFont="1" applyFill="1">
      <alignment vertical="center"/>
    </xf>
    <xf numFmtId="0" fontId="12" fillId="5" borderId="9" xfId="4" applyFont="1" applyFill="1" applyBorder="1" applyAlignment="1">
      <alignment vertical="center"/>
    </xf>
    <xf numFmtId="0" fontId="12" fillId="5" borderId="15" xfId="4" applyFont="1" applyFill="1" applyBorder="1" applyAlignment="1">
      <alignment horizontal="centerContinuous"/>
    </xf>
    <xf numFmtId="0" fontId="12" fillId="5" borderId="10" xfId="4" applyFont="1" applyFill="1" applyBorder="1" applyAlignment="1">
      <alignment horizontal="centerContinuous"/>
    </xf>
    <xf numFmtId="0" fontId="12" fillId="5" borderId="8" xfId="4" applyFont="1" applyFill="1" applyBorder="1" applyAlignment="1">
      <alignment vertical="center"/>
    </xf>
    <xf numFmtId="0" fontId="12" fillId="5" borderId="12" xfId="4" applyFont="1" applyFill="1" applyBorder="1" applyAlignment="1">
      <alignment horizontal="centerContinuous"/>
    </xf>
    <xf numFmtId="0" fontId="12" fillId="5" borderId="11" xfId="4" applyFont="1" applyFill="1" applyBorder="1" applyAlignment="1">
      <alignment horizontal="centerContinuous"/>
    </xf>
    <xf numFmtId="0" fontId="12" fillId="7" borderId="9" xfId="4" applyFont="1" applyFill="1" applyBorder="1" applyAlignment="1">
      <alignment vertical="center"/>
    </xf>
    <xf numFmtId="0" fontId="12" fillId="7" borderId="15" xfId="4" applyFont="1" applyFill="1" applyBorder="1" applyAlignment="1">
      <alignment vertical="center"/>
    </xf>
    <xf numFmtId="0" fontId="12" fillId="7" borderId="8" xfId="4" applyFont="1" applyFill="1" applyBorder="1" applyAlignment="1">
      <alignment vertical="center"/>
    </xf>
    <xf numFmtId="0" fontId="12" fillId="7" borderId="12" xfId="4" applyFont="1" applyFill="1" applyBorder="1" applyAlignment="1">
      <alignment vertical="center"/>
    </xf>
    <xf numFmtId="0" fontId="12" fillId="7" borderId="12" xfId="4" applyFont="1" applyFill="1" applyBorder="1" applyAlignment="1">
      <alignment horizontal="centerContinuous"/>
    </xf>
    <xf numFmtId="0" fontId="36" fillId="3" borderId="0" xfId="0" applyFont="1" applyFill="1">
      <alignment vertical="center"/>
    </xf>
    <xf numFmtId="0" fontId="36" fillId="3" borderId="1" xfId="0" applyFont="1" applyFill="1" applyBorder="1">
      <alignment vertical="center"/>
    </xf>
    <xf numFmtId="180" fontId="36" fillId="3" borderId="1" xfId="0" applyNumberFormat="1" applyFont="1" applyFill="1" applyBorder="1">
      <alignment vertical="center"/>
    </xf>
    <xf numFmtId="180" fontId="36" fillId="0" borderId="1" xfId="0" applyNumberFormat="1" applyFont="1" applyBorder="1">
      <alignment vertical="center"/>
    </xf>
    <xf numFmtId="0" fontId="12" fillId="8" borderId="5" xfId="4" applyFont="1" applyFill="1" applyBorder="1" applyAlignment="1">
      <alignment vertical="center"/>
    </xf>
    <xf numFmtId="0" fontId="12" fillId="3" borderId="1" xfId="4" applyFont="1" applyFill="1" applyBorder="1" applyAlignment="1">
      <alignment vertical="center"/>
    </xf>
    <xf numFmtId="0" fontId="12" fillId="3" borderId="1" xfId="4" applyFont="1" applyFill="1" applyBorder="1" applyAlignment="1">
      <alignment horizontal="center" vertical="center"/>
    </xf>
    <xf numFmtId="0" fontId="12" fillId="8" borderId="1" xfId="4" applyFont="1" applyFill="1" applyBorder="1" applyAlignment="1">
      <alignment vertical="center"/>
    </xf>
    <xf numFmtId="0" fontId="12" fillId="8" borderId="7" xfId="4" applyFont="1" applyFill="1" applyBorder="1" applyAlignment="1">
      <alignment vertical="center"/>
    </xf>
    <xf numFmtId="182" fontId="12" fillId="0" borderId="1" xfId="0" applyNumberFormat="1" applyFont="1" applyBorder="1">
      <alignment vertical="center"/>
    </xf>
    <xf numFmtId="0" fontId="12" fillId="8" borderId="39" xfId="0" applyFont="1" applyFill="1" applyBorder="1" applyAlignment="1">
      <alignment horizontal="center" vertical="center"/>
    </xf>
    <xf numFmtId="0" fontId="12" fillId="8" borderId="40" xfId="0" applyFont="1" applyFill="1" applyBorder="1" applyAlignment="1">
      <alignment horizontal="center" vertical="center"/>
    </xf>
    <xf numFmtId="0" fontId="12" fillId="9" borderId="22" xfId="0" applyFont="1" applyFill="1" applyBorder="1" applyAlignment="1" applyProtection="1">
      <alignment vertical="center" shrinkToFit="1"/>
      <protection locked="0"/>
    </xf>
    <xf numFmtId="0" fontId="12" fillId="9" borderId="23" xfId="0" applyFont="1" applyFill="1" applyBorder="1" applyProtection="1">
      <alignment vertical="center"/>
      <protection locked="0"/>
    </xf>
    <xf numFmtId="180" fontId="36" fillId="9" borderId="1" xfId="0" applyNumberFormat="1" applyFont="1" applyFill="1" applyBorder="1">
      <alignment vertical="center"/>
    </xf>
    <xf numFmtId="177" fontId="36" fillId="3" borderId="1" xfId="0" applyNumberFormat="1" applyFont="1" applyFill="1" applyBorder="1">
      <alignment vertical="center"/>
    </xf>
    <xf numFmtId="0" fontId="3" fillId="8" borderId="5" xfId="0" applyFont="1" applyFill="1" applyBorder="1">
      <alignment vertical="center"/>
    </xf>
    <xf numFmtId="0" fontId="12" fillId="2" borderId="3" xfId="0" applyFont="1" applyFill="1" applyBorder="1">
      <alignment vertical="center"/>
    </xf>
    <xf numFmtId="0" fontId="12" fillId="2" borderId="4" xfId="0" applyFont="1" applyFill="1" applyBorder="1">
      <alignment vertical="center"/>
    </xf>
    <xf numFmtId="0" fontId="12" fillId="2" borderId="2" xfId="0" applyFont="1" applyFill="1" applyBorder="1">
      <alignment vertical="center"/>
    </xf>
    <xf numFmtId="0" fontId="12" fillId="3" borderId="3" xfId="0" applyFont="1" applyFill="1" applyBorder="1" applyAlignment="1">
      <alignment horizontal="centerContinuous" vertical="center"/>
    </xf>
    <xf numFmtId="0" fontId="12" fillId="3" borderId="4" xfId="0" applyFont="1" applyFill="1" applyBorder="1" applyAlignment="1">
      <alignment horizontal="centerContinuous" vertical="center"/>
    </xf>
    <xf numFmtId="0" fontId="12" fillId="3" borderId="2" xfId="0" applyFont="1" applyFill="1" applyBorder="1" applyAlignment="1">
      <alignment horizontal="centerContinuous" vertical="center"/>
    </xf>
    <xf numFmtId="0" fontId="12" fillId="8" borderId="4" xfId="0" applyFont="1" applyFill="1" applyBorder="1" applyAlignment="1">
      <alignment horizontal="centerContinuous" vertical="center"/>
    </xf>
    <xf numFmtId="183" fontId="12" fillId="3" borderId="1" xfId="0" applyNumberFormat="1" applyFont="1" applyFill="1" applyBorder="1">
      <alignment vertical="center"/>
    </xf>
    <xf numFmtId="0" fontId="12" fillId="2" borderId="1" xfId="0" applyFont="1" applyFill="1" applyBorder="1" applyAlignment="1">
      <alignment horizontal="center" vertical="center"/>
    </xf>
    <xf numFmtId="0" fontId="12" fillId="9" borderId="1" xfId="0" applyFont="1" applyFill="1" applyBorder="1" applyAlignment="1">
      <alignment horizontal="center" vertical="center"/>
    </xf>
    <xf numFmtId="0" fontId="12" fillId="0" borderId="1" xfId="0" applyFont="1" applyBorder="1" applyAlignment="1">
      <alignment horizontal="center" vertical="center" shrinkToFit="1"/>
    </xf>
    <xf numFmtId="189" fontId="12" fillId="0" borderId="1" xfId="6" applyNumberFormat="1" applyFont="1" applyBorder="1" applyAlignment="1">
      <alignment vertical="center"/>
    </xf>
    <xf numFmtId="189" fontId="12" fillId="0" borderId="1" xfId="6" applyNumberFormat="1" applyFont="1" applyBorder="1" applyAlignment="1">
      <alignment vertical="center" wrapText="1"/>
    </xf>
    <xf numFmtId="0" fontId="12" fillId="8" borderId="4" xfId="4" applyFont="1" applyFill="1" applyBorder="1" applyAlignment="1">
      <alignment horizontal="centerContinuous" vertical="center"/>
    </xf>
    <xf numFmtId="0" fontId="12" fillId="8" borderId="1" xfId="4" applyFont="1" applyFill="1" applyBorder="1" applyAlignment="1">
      <alignment horizontal="centerContinuous" vertical="center"/>
    </xf>
    <xf numFmtId="0" fontId="6" fillId="0" borderId="0" xfId="0" applyFont="1">
      <alignment vertical="center"/>
    </xf>
    <xf numFmtId="0" fontId="32" fillId="3" borderId="0" xfId="0" applyFont="1" applyFill="1">
      <alignment vertical="center"/>
    </xf>
    <xf numFmtId="0" fontId="32" fillId="0" borderId="0" xfId="0" applyFont="1">
      <alignment vertical="center"/>
    </xf>
    <xf numFmtId="0" fontId="32" fillId="3" borderId="0" xfId="4" applyFont="1" applyFill="1" applyAlignment="1">
      <alignment vertical="center" wrapText="1"/>
    </xf>
    <xf numFmtId="0" fontId="32" fillId="3" borderId="13" xfId="4" applyFont="1" applyFill="1" applyBorder="1" applyAlignment="1">
      <alignment vertical="center" wrapText="1" shrinkToFit="1"/>
    </xf>
    <xf numFmtId="0" fontId="32" fillId="0" borderId="0" xfId="4" applyFont="1" applyAlignment="1">
      <alignment vertical="center" wrapText="1"/>
    </xf>
    <xf numFmtId="0" fontId="12" fillId="3" borderId="13" xfId="4" applyFont="1" applyFill="1" applyBorder="1" applyAlignment="1">
      <alignment vertical="center" shrinkToFit="1"/>
    </xf>
    <xf numFmtId="0" fontId="3" fillId="7" borderId="1" xfId="0" applyFont="1" applyFill="1" applyBorder="1">
      <alignment vertical="center"/>
    </xf>
    <xf numFmtId="0" fontId="12" fillId="7" borderId="1" xfId="0" applyFont="1" applyFill="1" applyBorder="1" applyAlignment="1">
      <alignment horizontal="center" vertical="center" shrinkToFit="1"/>
    </xf>
    <xf numFmtId="193" fontId="3" fillId="3" borderId="0" xfId="0" applyNumberFormat="1" applyFont="1" applyFill="1">
      <alignment vertical="center"/>
    </xf>
    <xf numFmtId="0" fontId="3" fillId="8" borderId="7" xfId="0" applyFont="1" applyFill="1" applyBorder="1">
      <alignment vertical="center"/>
    </xf>
    <xf numFmtId="0" fontId="3" fillId="8" borderId="11" xfId="0" applyFont="1" applyFill="1" applyBorder="1" applyAlignment="1">
      <alignment horizontal="centerContinuous" vertical="center" wrapText="1"/>
    </xf>
    <xf numFmtId="0" fontId="3" fillId="7" borderId="5" xfId="0" applyFont="1" applyFill="1" applyBorder="1">
      <alignment vertical="center"/>
    </xf>
    <xf numFmtId="0" fontId="3" fillId="5" borderId="8" xfId="0" applyFont="1" applyFill="1" applyBorder="1" applyAlignment="1">
      <alignment horizontal="centerContinuous" vertical="center"/>
    </xf>
    <xf numFmtId="0" fontId="3" fillId="5" borderId="12" xfId="0" applyFont="1" applyFill="1" applyBorder="1" applyAlignment="1">
      <alignment horizontal="centerContinuous" vertical="center"/>
    </xf>
    <xf numFmtId="0" fontId="3" fillId="5" borderId="11" xfId="0" applyFont="1" applyFill="1" applyBorder="1" applyAlignment="1">
      <alignment horizontal="centerContinuous" vertical="center"/>
    </xf>
    <xf numFmtId="0" fontId="3" fillId="6" borderId="41" xfId="0" applyFont="1" applyFill="1" applyBorder="1">
      <alignment vertical="center"/>
    </xf>
    <xf numFmtId="0" fontId="3" fillId="6" borderId="42" xfId="0" applyFont="1" applyFill="1" applyBorder="1">
      <alignment vertical="center"/>
    </xf>
    <xf numFmtId="0" fontId="3" fillId="6" borderId="43" xfId="0" applyFont="1" applyFill="1" applyBorder="1">
      <alignment vertical="center"/>
    </xf>
    <xf numFmtId="0" fontId="3" fillId="6" borderId="45" xfId="0" applyFont="1" applyFill="1" applyBorder="1">
      <alignment vertical="center"/>
    </xf>
    <xf numFmtId="0" fontId="3" fillId="6" borderId="46" xfId="0" applyFont="1" applyFill="1" applyBorder="1">
      <alignment vertical="center"/>
    </xf>
    <xf numFmtId="0" fontId="3" fillId="7" borderId="47" xfId="0" applyFont="1" applyFill="1" applyBorder="1">
      <alignment vertical="center"/>
    </xf>
    <xf numFmtId="0" fontId="3" fillId="8" borderId="49" xfId="0" applyFont="1" applyFill="1" applyBorder="1">
      <alignment vertical="center"/>
    </xf>
    <xf numFmtId="0" fontId="3" fillId="8" borderId="50" xfId="0" applyFont="1" applyFill="1" applyBorder="1">
      <alignment vertical="center"/>
    </xf>
    <xf numFmtId="0" fontId="3" fillId="8" borderId="43" xfId="0" applyFont="1" applyFill="1" applyBorder="1">
      <alignment vertical="center"/>
    </xf>
    <xf numFmtId="0" fontId="3" fillId="8" borderId="51" xfId="0" applyFont="1" applyFill="1" applyBorder="1">
      <alignment vertical="center"/>
    </xf>
    <xf numFmtId="0" fontId="3" fillId="8" borderId="53" xfId="0" applyFont="1" applyFill="1" applyBorder="1">
      <alignment vertical="center"/>
    </xf>
    <xf numFmtId="0" fontId="3" fillId="8" borderId="54" xfId="0" applyFont="1" applyFill="1" applyBorder="1">
      <alignment vertical="center"/>
    </xf>
    <xf numFmtId="0" fontId="3" fillId="8" borderId="45" xfId="0" applyFont="1" applyFill="1" applyBorder="1">
      <alignment vertical="center"/>
    </xf>
    <xf numFmtId="0" fontId="3" fillId="8" borderId="46" xfId="0" applyFont="1" applyFill="1" applyBorder="1" applyAlignment="1">
      <alignment horizontal="centerContinuous" vertical="center" wrapText="1"/>
    </xf>
    <xf numFmtId="0" fontId="3" fillId="11" borderId="49" xfId="0" applyFont="1" applyFill="1" applyBorder="1">
      <alignment vertical="center"/>
    </xf>
    <xf numFmtId="0" fontId="3" fillId="11" borderId="50" xfId="0" applyFont="1" applyFill="1" applyBorder="1">
      <alignment vertical="center"/>
    </xf>
    <xf numFmtId="0" fontId="3" fillId="11" borderId="51" xfId="0" applyFont="1" applyFill="1" applyBorder="1">
      <alignment vertical="center"/>
    </xf>
    <xf numFmtId="0" fontId="3" fillId="11" borderId="13" xfId="0" applyFont="1" applyFill="1" applyBorder="1">
      <alignment vertical="center"/>
    </xf>
    <xf numFmtId="0" fontId="3" fillId="11" borderId="53" xfId="0" applyFont="1" applyFill="1" applyBorder="1">
      <alignment vertical="center"/>
    </xf>
    <xf numFmtId="0" fontId="3" fillId="11" borderId="5" xfId="0" applyFont="1" applyFill="1" applyBorder="1">
      <alignment vertical="center"/>
    </xf>
    <xf numFmtId="0" fontId="3" fillId="11" borderId="7" xfId="0" applyFont="1" applyFill="1" applyBorder="1">
      <alignment vertical="center"/>
    </xf>
    <xf numFmtId="0" fontId="3" fillId="11" borderId="54" xfId="0" applyFont="1" applyFill="1" applyBorder="1">
      <alignment vertical="center"/>
    </xf>
    <xf numFmtId="0" fontId="3" fillId="11" borderId="11" xfId="0" applyFont="1" applyFill="1" applyBorder="1" applyAlignment="1">
      <alignment horizontal="centerContinuous" vertical="center" wrapText="1"/>
    </xf>
    <xf numFmtId="0" fontId="3" fillId="11" borderId="45" xfId="0" applyFont="1" applyFill="1" applyBorder="1">
      <alignment vertical="center"/>
    </xf>
    <xf numFmtId="0" fontId="3" fillId="11" borderId="46" xfId="0" applyFont="1" applyFill="1" applyBorder="1" applyAlignment="1">
      <alignment horizontal="centerContinuous" vertical="center" wrapText="1"/>
    </xf>
    <xf numFmtId="0" fontId="3" fillId="11" borderId="43" xfId="0" applyFont="1" applyFill="1" applyBorder="1">
      <alignment vertical="center"/>
    </xf>
    <xf numFmtId="0" fontId="3" fillId="11" borderId="1" xfId="0" applyFont="1" applyFill="1" applyBorder="1">
      <alignment vertical="center"/>
    </xf>
    <xf numFmtId="0" fontId="7" fillId="4" borderId="41" xfId="0" applyFont="1" applyFill="1" applyBorder="1">
      <alignment vertical="center"/>
    </xf>
    <xf numFmtId="0" fontId="3" fillId="4" borderId="55" xfId="0" applyFont="1" applyFill="1" applyBorder="1">
      <alignment vertical="center"/>
    </xf>
    <xf numFmtId="0" fontId="7" fillId="4" borderId="45" xfId="0" applyFont="1" applyFill="1" applyBorder="1">
      <alignment vertical="center"/>
    </xf>
    <xf numFmtId="0" fontId="3" fillId="4" borderId="56" xfId="0" applyFont="1" applyFill="1" applyBorder="1">
      <alignment vertical="center"/>
    </xf>
    <xf numFmtId="0" fontId="3" fillId="4" borderId="43" xfId="0" applyFont="1" applyFill="1" applyBorder="1">
      <alignment vertical="center"/>
    </xf>
    <xf numFmtId="0" fontId="12" fillId="8" borderId="3" xfId="0" applyFont="1" applyFill="1" applyBorder="1" applyAlignment="1">
      <alignment horizontal="center" vertical="center"/>
    </xf>
    <xf numFmtId="0" fontId="12" fillId="8" borderId="5" xfId="0" applyFont="1" applyFill="1" applyBorder="1" applyAlignment="1">
      <alignment horizontal="center" vertical="center"/>
    </xf>
    <xf numFmtId="0" fontId="36" fillId="3" borderId="0" xfId="4" applyFont="1" applyFill="1" applyAlignment="1">
      <alignment vertical="center"/>
    </xf>
    <xf numFmtId="0" fontId="36" fillId="9" borderId="1" xfId="4" applyFont="1" applyFill="1" applyBorder="1" applyAlignment="1">
      <alignment vertical="center"/>
    </xf>
    <xf numFmtId="187" fontId="36" fillId="3" borderId="1" xfId="6" applyNumberFormat="1" applyFont="1" applyFill="1" applyBorder="1" applyAlignment="1" applyProtection="1">
      <alignment horizontal="right" vertical="center"/>
    </xf>
    <xf numFmtId="189" fontId="36" fillId="3" borderId="1" xfId="6" applyNumberFormat="1" applyFont="1" applyFill="1" applyBorder="1" applyAlignment="1" applyProtection="1">
      <alignment horizontal="right" vertical="center"/>
    </xf>
    <xf numFmtId="0" fontId="36" fillId="2" borderId="1" xfId="4" applyFont="1" applyFill="1" applyBorder="1" applyAlignment="1">
      <alignment horizontal="left" vertical="center" shrinkToFit="1"/>
    </xf>
    <xf numFmtId="179" fontId="36" fillId="3" borderId="1" xfId="4" applyNumberFormat="1" applyFont="1" applyFill="1" applyBorder="1" applyAlignment="1">
      <alignment vertical="center" shrinkToFit="1"/>
    </xf>
    <xf numFmtId="179" fontId="36" fillId="3" borderId="1" xfId="6" applyNumberFormat="1" applyFont="1" applyFill="1" applyBorder="1" applyAlignment="1" applyProtection="1">
      <alignment horizontal="right" vertical="center"/>
    </xf>
    <xf numFmtId="190" fontId="36" fillId="0" borderId="1" xfId="4" applyNumberFormat="1" applyFont="1" applyBorder="1" applyAlignment="1">
      <alignment horizontal="right" vertical="center"/>
    </xf>
    <xf numFmtId="0" fontId="36" fillId="0" borderId="0" xfId="4" applyFont="1" applyAlignment="1">
      <alignment vertical="center"/>
    </xf>
    <xf numFmtId="189" fontId="3" fillId="3" borderId="1" xfId="0" applyNumberFormat="1" applyFont="1" applyFill="1" applyBorder="1">
      <alignment vertical="center"/>
    </xf>
    <xf numFmtId="0" fontId="12" fillId="8" borderId="25" xfId="0" applyFont="1" applyFill="1" applyBorder="1" applyAlignment="1">
      <alignment horizontal="center" vertical="center" wrapText="1"/>
    </xf>
    <xf numFmtId="0" fontId="12" fillId="8" borderId="26" xfId="0" applyFont="1" applyFill="1" applyBorder="1" applyAlignment="1">
      <alignment horizontal="center" vertical="center"/>
    </xf>
    <xf numFmtId="183" fontId="37" fillId="3" borderId="26" xfId="0" applyNumberFormat="1" applyFont="1" applyFill="1" applyBorder="1" applyAlignment="1">
      <alignment horizontal="center" vertical="center"/>
    </xf>
    <xf numFmtId="183" fontId="37" fillId="3" borderId="27" xfId="0" applyNumberFormat="1" applyFont="1" applyFill="1" applyBorder="1" applyAlignment="1">
      <alignment horizontal="center" vertical="center"/>
    </xf>
    <xf numFmtId="195" fontId="12" fillId="0" borderId="1" xfId="6" applyNumberFormat="1" applyFont="1" applyBorder="1" applyAlignment="1" applyProtection="1">
      <alignment vertical="center"/>
    </xf>
    <xf numFmtId="195" fontId="12" fillId="0" borderId="1" xfId="6" applyNumberFormat="1" applyFont="1" applyFill="1" applyBorder="1" applyAlignment="1" applyProtection="1">
      <alignment horizontal="right" vertical="center"/>
    </xf>
    <xf numFmtId="195" fontId="12" fillId="0" borderId="1" xfId="6" applyNumberFormat="1" applyFont="1" applyBorder="1" applyAlignment="1" applyProtection="1">
      <alignment horizontal="right" vertical="center"/>
    </xf>
    <xf numFmtId="196" fontId="12" fillId="0" borderId="1" xfId="6" applyNumberFormat="1" applyFont="1" applyBorder="1" applyAlignment="1" applyProtection="1">
      <alignment vertical="center"/>
    </xf>
    <xf numFmtId="196" fontId="12" fillId="0" borderId="1" xfId="6" applyNumberFormat="1" applyFont="1" applyFill="1" applyBorder="1" applyAlignment="1" applyProtection="1">
      <alignment horizontal="right" vertical="center"/>
    </xf>
    <xf numFmtId="197" fontId="12" fillId="0" borderId="1" xfId="0" applyNumberFormat="1" applyFont="1" applyBorder="1">
      <alignment vertical="center"/>
    </xf>
    <xf numFmtId="0" fontId="12" fillId="4" borderId="61" xfId="0" applyFont="1" applyFill="1" applyBorder="1" applyAlignment="1">
      <alignment horizontal="center" vertical="center"/>
    </xf>
    <xf numFmtId="0" fontId="12" fillId="4" borderId="19" xfId="0" applyFont="1" applyFill="1" applyBorder="1" applyAlignment="1">
      <alignment horizontal="center" vertical="center"/>
    </xf>
    <xf numFmtId="0" fontId="12" fillId="3" borderId="21" xfId="0" applyFont="1" applyFill="1" applyBorder="1">
      <alignment vertical="center"/>
    </xf>
    <xf numFmtId="0" fontId="12" fillId="3" borderId="21" xfId="0" applyFont="1" applyFill="1" applyBorder="1" applyAlignment="1">
      <alignment vertical="center" wrapText="1"/>
    </xf>
    <xf numFmtId="0" fontId="12" fillId="3" borderId="63" xfId="0" applyFont="1" applyFill="1" applyBorder="1">
      <alignment vertical="center"/>
    </xf>
    <xf numFmtId="0" fontId="34" fillId="3" borderId="0" xfId="0" applyFont="1" applyFill="1">
      <alignment vertical="center"/>
    </xf>
    <xf numFmtId="0" fontId="38" fillId="3" borderId="0" xfId="0" applyFont="1" applyFill="1">
      <alignment vertical="center"/>
    </xf>
    <xf numFmtId="0" fontId="40" fillId="0" borderId="0" xfId="0" applyFont="1">
      <alignment vertical="center"/>
    </xf>
    <xf numFmtId="0" fontId="40" fillId="3" borderId="0" xfId="0" applyFont="1" applyFill="1">
      <alignment vertical="center"/>
    </xf>
    <xf numFmtId="0" fontId="34" fillId="0" borderId="0" xfId="0" applyFont="1">
      <alignment vertical="center"/>
    </xf>
    <xf numFmtId="0" fontId="40" fillId="5" borderId="1" xfId="0" applyFont="1" applyFill="1" applyBorder="1" applyAlignment="1">
      <alignment vertical="center" shrinkToFit="1"/>
    </xf>
    <xf numFmtId="0" fontId="38" fillId="4" borderId="1" xfId="0" applyFont="1" applyFill="1" applyBorder="1" applyAlignment="1">
      <alignment horizontal="center" vertical="center"/>
    </xf>
    <xf numFmtId="0" fontId="41" fillId="4" borderId="5" xfId="0" applyFont="1" applyFill="1" applyBorder="1" applyAlignment="1">
      <alignment vertical="center" shrinkToFit="1"/>
    </xf>
    <xf numFmtId="0" fontId="41" fillId="4" borderId="7" xfId="0" applyFont="1" applyFill="1" applyBorder="1" applyAlignment="1">
      <alignment vertical="center" shrinkToFit="1"/>
    </xf>
    <xf numFmtId="0" fontId="40" fillId="6" borderId="5" xfId="0" applyFont="1" applyFill="1" applyBorder="1" applyAlignment="1">
      <alignment vertical="center" shrinkToFit="1"/>
    </xf>
    <xf numFmtId="0" fontId="40" fillId="6" borderId="7" xfId="0" applyFont="1" applyFill="1" applyBorder="1" applyAlignment="1">
      <alignment vertical="center" shrinkToFit="1"/>
    </xf>
    <xf numFmtId="0" fontId="43" fillId="3" borderId="0" xfId="0" applyFont="1" applyFill="1" applyAlignment="1">
      <alignment horizontal="center" vertical="center"/>
    </xf>
    <xf numFmtId="0" fontId="43" fillId="3" borderId="15" xfId="0" applyFont="1" applyFill="1" applyBorder="1" applyAlignment="1">
      <alignment horizontal="center" vertical="center"/>
    </xf>
    <xf numFmtId="0" fontId="12" fillId="5" borderId="2" xfId="4" applyFont="1" applyFill="1" applyBorder="1" applyAlignment="1">
      <alignment horizontal="center" vertical="center"/>
    </xf>
    <xf numFmtId="0" fontId="12" fillId="5" borderId="4" xfId="0" applyFont="1" applyFill="1" applyBorder="1" applyAlignment="1">
      <alignment horizontal="center" vertical="center"/>
    </xf>
    <xf numFmtId="178" fontId="36" fillId="3" borderId="1" xfId="0" applyNumberFormat="1" applyFont="1" applyFill="1" applyBorder="1">
      <alignment vertical="center"/>
    </xf>
    <xf numFmtId="0" fontId="12" fillId="3" borderId="23" xfId="0" applyFont="1" applyFill="1" applyBorder="1">
      <alignment vertical="center"/>
    </xf>
    <xf numFmtId="197" fontId="36" fillId="0" borderId="1" xfId="6" applyNumberFormat="1" applyFont="1" applyBorder="1" applyAlignment="1" applyProtection="1">
      <alignment vertical="center"/>
    </xf>
    <xf numFmtId="197" fontId="36" fillId="0" borderId="1" xfId="6" applyNumberFormat="1" applyFont="1" applyFill="1" applyBorder="1" applyAlignment="1" applyProtection="1">
      <alignment vertical="center"/>
    </xf>
    <xf numFmtId="0" fontId="12" fillId="8" borderId="3" xfId="0" applyFont="1" applyFill="1" applyBorder="1" applyAlignment="1">
      <alignment horizontal="center" vertical="center" wrapText="1"/>
    </xf>
    <xf numFmtId="0" fontId="12" fillId="0" borderId="3" xfId="0" applyFont="1" applyBorder="1" applyAlignment="1">
      <alignment horizontal="center" vertical="center"/>
    </xf>
    <xf numFmtId="0" fontId="12" fillId="8" borderId="2" xfId="0" applyFont="1" applyFill="1" applyBorder="1" applyAlignment="1">
      <alignment horizontal="center" vertical="center" wrapText="1"/>
    </xf>
    <xf numFmtId="0" fontId="12" fillId="0" borderId="2" xfId="0" applyFont="1" applyBorder="1">
      <alignment vertical="center"/>
    </xf>
    <xf numFmtId="0" fontId="12" fillId="8" borderId="69" xfId="0" applyFont="1" applyFill="1" applyBorder="1" applyAlignment="1">
      <alignment horizontal="center" vertical="center" wrapText="1"/>
    </xf>
    <xf numFmtId="0" fontId="12" fillId="0" borderId="70" xfId="0" applyFont="1" applyBorder="1">
      <alignment vertical="center"/>
    </xf>
    <xf numFmtId="0" fontId="12" fillId="0" borderId="71" xfId="0" applyFont="1" applyBorder="1">
      <alignment vertical="center"/>
    </xf>
    <xf numFmtId="183" fontId="12" fillId="3" borderId="0" xfId="0" applyNumberFormat="1" applyFont="1" applyFill="1" applyAlignment="1">
      <alignment horizontal="center" vertical="center"/>
    </xf>
    <xf numFmtId="193" fontId="36" fillId="3" borderId="1" xfId="4" applyNumberFormat="1" applyFont="1" applyFill="1" applyBorder="1" applyAlignment="1">
      <alignment vertical="center"/>
    </xf>
    <xf numFmtId="182" fontId="12" fillId="3" borderId="0" xfId="0" applyNumberFormat="1" applyFont="1" applyFill="1">
      <alignment vertical="center"/>
    </xf>
    <xf numFmtId="177" fontId="36" fillId="0" borderId="1" xfId="4" applyNumberFormat="1" applyFont="1" applyBorder="1" applyAlignment="1">
      <alignment horizontal="right" vertical="center"/>
    </xf>
    <xf numFmtId="193" fontId="3" fillId="3" borderId="0" xfId="4" applyNumberFormat="1" applyFont="1" applyFill="1" applyAlignment="1">
      <alignment vertical="center"/>
    </xf>
    <xf numFmtId="193" fontId="12" fillId="3" borderId="0" xfId="4" applyNumberFormat="1" applyFont="1" applyFill="1"/>
    <xf numFmtId="193" fontId="12" fillId="8" borderId="1" xfId="4" applyNumberFormat="1" applyFont="1" applyFill="1" applyBorder="1" applyAlignment="1">
      <alignment horizontal="center" vertical="center" wrapText="1"/>
    </xf>
    <xf numFmtId="193" fontId="3" fillId="0" borderId="0" xfId="4" applyNumberFormat="1" applyFont="1"/>
    <xf numFmtId="0" fontId="44" fillId="22" borderId="1" xfId="0" applyFont="1" applyFill="1" applyBorder="1">
      <alignment vertical="center"/>
    </xf>
    <xf numFmtId="0" fontId="44" fillId="22" borderId="1" xfId="0" applyFont="1" applyFill="1" applyBorder="1" applyAlignment="1">
      <alignment horizontal="center" vertical="center"/>
    </xf>
    <xf numFmtId="0" fontId="36" fillId="3" borderId="0" xfId="4" applyFont="1" applyFill="1"/>
    <xf numFmtId="0" fontId="12" fillId="3" borderId="5" xfId="0" applyFont="1" applyFill="1" applyBorder="1">
      <alignment vertical="center"/>
    </xf>
    <xf numFmtId="0" fontId="12" fillId="3" borderId="74" xfId="0" applyFont="1" applyFill="1" applyBorder="1" applyAlignment="1">
      <alignment vertical="center" wrapText="1"/>
    </xf>
    <xf numFmtId="184" fontId="12" fillId="2" borderId="1" xfId="0" applyNumberFormat="1" applyFont="1" applyFill="1" applyBorder="1">
      <alignment vertical="center"/>
    </xf>
    <xf numFmtId="180" fontId="12" fillId="3" borderId="5" xfId="0" applyNumberFormat="1" applyFont="1" applyFill="1" applyBorder="1">
      <alignment vertical="center"/>
    </xf>
    <xf numFmtId="0" fontId="47" fillId="3" borderId="0" xfId="0" applyFont="1" applyFill="1" applyAlignment="1">
      <alignment vertical="center" shrinkToFit="1"/>
    </xf>
    <xf numFmtId="0" fontId="48" fillId="3" borderId="0" xfId="0" applyFont="1" applyFill="1" applyAlignment="1">
      <alignment vertical="center" shrinkToFit="1"/>
    </xf>
    <xf numFmtId="0" fontId="51" fillId="3" borderId="0" xfId="0" applyFont="1" applyFill="1" applyAlignment="1">
      <alignment vertical="center" shrinkToFit="1"/>
    </xf>
    <xf numFmtId="0" fontId="52" fillId="3" borderId="0" xfId="0" applyFont="1" applyFill="1" applyAlignment="1"/>
    <xf numFmtId="0" fontId="53" fillId="3" borderId="0" xfId="0" applyFont="1" applyFill="1" applyAlignment="1"/>
    <xf numFmtId="0" fontId="54" fillId="3" borderId="0" xfId="0" applyFont="1" applyFill="1">
      <alignment vertical="center"/>
    </xf>
    <xf numFmtId="0" fontId="12" fillId="5" borderId="12" xfId="4" applyFont="1" applyFill="1" applyBorder="1"/>
    <xf numFmtId="0" fontId="12" fillId="5" borderId="15" xfId="4" applyFont="1" applyFill="1" applyBorder="1"/>
    <xf numFmtId="0" fontId="12" fillId="3" borderId="1" xfId="4" applyFont="1" applyFill="1" applyBorder="1" applyAlignment="1">
      <alignment vertical="center" shrinkToFit="1"/>
    </xf>
    <xf numFmtId="9" fontId="12" fillId="3" borderId="1" xfId="4" applyNumberFormat="1" applyFont="1" applyFill="1" applyBorder="1" applyAlignment="1">
      <alignment vertical="center"/>
    </xf>
    <xf numFmtId="0" fontId="12" fillId="12" borderId="1" xfId="4" applyFont="1" applyFill="1" applyBorder="1" applyAlignment="1">
      <alignment horizontal="center" vertical="center"/>
    </xf>
    <xf numFmtId="0" fontId="12" fillId="5" borderId="12" xfId="4" applyFont="1" applyFill="1" applyBorder="1" applyAlignment="1">
      <alignment vertical="center"/>
    </xf>
    <xf numFmtId="0" fontId="12" fillId="5" borderId="15" xfId="4" applyFont="1" applyFill="1" applyBorder="1" applyAlignment="1">
      <alignment vertical="center"/>
    </xf>
    <xf numFmtId="0" fontId="12" fillId="12" borderId="1" xfId="4" applyFont="1" applyFill="1" applyBorder="1" applyAlignment="1">
      <alignment horizontal="centerContinuous" vertical="center"/>
    </xf>
    <xf numFmtId="0" fontId="12" fillId="12" borderId="1" xfId="4" applyFont="1" applyFill="1" applyBorder="1" applyAlignment="1">
      <alignment horizontal="center" vertical="center" shrinkToFit="1"/>
    </xf>
    <xf numFmtId="0" fontId="12" fillId="3" borderId="5" xfId="4" applyFont="1" applyFill="1" applyBorder="1" applyAlignment="1">
      <alignment vertical="center" shrinkToFit="1"/>
    </xf>
    <xf numFmtId="0" fontId="12" fillId="3" borderId="7" xfId="4" applyFont="1" applyFill="1" applyBorder="1" applyAlignment="1">
      <alignment vertical="center" shrinkToFit="1"/>
    </xf>
    <xf numFmtId="0" fontId="12" fillId="7" borderId="12" xfId="4" applyFont="1" applyFill="1" applyBorder="1" applyAlignment="1">
      <alignment vertical="center" shrinkToFit="1"/>
    </xf>
    <xf numFmtId="0" fontId="12" fillId="7" borderId="3" xfId="4" applyFont="1" applyFill="1" applyBorder="1" applyAlignment="1">
      <alignment vertical="center" shrinkToFit="1"/>
    </xf>
    <xf numFmtId="0" fontId="12" fillId="7" borderId="1" xfId="4" applyFont="1" applyFill="1" applyBorder="1" applyAlignment="1">
      <alignment horizontal="center" vertical="center" shrinkToFit="1"/>
    </xf>
    <xf numFmtId="192" fontId="36" fillId="2" borderId="1" xfId="4" applyNumberFormat="1" applyFont="1" applyFill="1" applyBorder="1" applyAlignment="1" applyProtection="1">
      <alignment vertical="center" shrinkToFit="1"/>
      <protection locked="0"/>
    </xf>
    <xf numFmtId="0" fontId="3" fillId="0" borderId="0" xfId="4" applyFont="1" applyAlignment="1">
      <alignment shrinkToFit="1"/>
    </xf>
    <xf numFmtId="0" fontId="36" fillId="9" borderId="1" xfId="4" applyFont="1" applyFill="1" applyBorder="1" applyAlignment="1">
      <alignment vertical="center" shrinkToFit="1"/>
    </xf>
    <xf numFmtId="184" fontId="36" fillId="0" borderId="1" xfId="4" applyNumberFormat="1" applyFont="1" applyBorder="1" applyAlignment="1">
      <alignment horizontal="right" vertical="center"/>
    </xf>
    <xf numFmtId="192" fontId="36" fillId="2" borderId="1" xfId="4" applyNumberFormat="1" applyFont="1" applyFill="1" applyBorder="1" applyAlignment="1">
      <alignment vertical="center" shrinkToFit="1"/>
    </xf>
    <xf numFmtId="0" fontId="58" fillId="3" borderId="0" xfId="0" applyFont="1" applyFill="1" applyAlignment="1">
      <alignment horizontal="right" vertical="center"/>
    </xf>
    <xf numFmtId="199" fontId="3" fillId="3" borderId="1" xfId="0" applyNumberFormat="1" applyFont="1" applyFill="1" applyBorder="1" applyAlignment="1">
      <alignment horizontal="center" vertical="center"/>
    </xf>
    <xf numFmtId="199" fontId="38" fillId="4" borderId="1" xfId="0" applyNumberFormat="1" applyFont="1" applyFill="1" applyBorder="1" applyAlignment="1">
      <alignment horizontal="center" vertical="center"/>
    </xf>
    <xf numFmtId="0" fontId="3" fillId="3" borderId="5" xfId="0" applyFont="1" applyFill="1" applyBorder="1">
      <alignment vertical="center"/>
    </xf>
    <xf numFmtId="199" fontId="3" fillId="3" borderId="5" xfId="0" applyNumberFormat="1" applyFont="1" applyFill="1" applyBorder="1" applyAlignment="1">
      <alignment horizontal="center" vertical="center"/>
    </xf>
    <xf numFmtId="0" fontId="45" fillId="3" borderId="0" xfId="0" applyFont="1" applyFill="1" applyAlignment="1">
      <alignment shrinkToFit="1"/>
    </xf>
    <xf numFmtId="0" fontId="3" fillId="3" borderId="7" xfId="0" applyFont="1" applyFill="1" applyBorder="1">
      <alignment vertical="center"/>
    </xf>
    <xf numFmtId="0" fontId="52" fillId="3" borderId="0" xfId="0" applyFont="1" applyFill="1">
      <alignment vertical="center"/>
    </xf>
    <xf numFmtId="0" fontId="7" fillId="3" borderId="0" xfId="0" applyFont="1" applyFill="1">
      <alignment vertical="center"/>
    </xf>
    <xf numFmtId="0" fontId="7" fillId="0" borderId="1" xfId="0" applyFont="1" applyBorder="1">
      <alignment vertical="center"/>
    </xf>
    <xf numFmtId="0" fontId="7" fillId="0" borderId="0" xfId="0" applyFont="1">
      <alignment vertical="center"/>
    </xf>
    <xf numFmtId="193" fontId="36" fillId="3" borderId="1" xfId="4" applyNumberFormat="1" applyFont="1" applyFill="1" applyBorder="1" applyAlignment="1">
      <alignment horizontal="right" vertical="center"/>
    </xf>
    <xf numFmtId="0" fontId="12" fillId="3" borderId="0" xfId="0" applyFont="1" applyFill="1" applyAlignment="1"/>
    <xf numFmtId="0" fontId="58" fillId="3" borderId="0" xfId="0" applyFont="1" applyFill="1">
      <alignment vertical="center"/>
    </xf>
    <xf numFmtId="0" fontId="66" fillId="3" borderId="0" xfId="0" applyFont="1" applyFill="1">
      <alignment vertical="center"/>
    </xf>
    <xf numFmtId="0" fontId="58" fillId="23" borderId="2" xfId="0" applyFont="1" applyFill="1" applyBorder="1">
      <alignment vertical="center"/>
    </xf>
    <xf numFmtId="0" fontId="58" fillId="23" borderId="1" xfId="0" applyFont="1" applyFill="1" applyBorder="1" applyAlignment="1">
      <alignment horizontal="centerContinuous" vertical="center"/>
    </xf>
    <xf numFmtId="0" fontId="58" fillId="23" borderId="1" xfId="0" applyFont="1" applyFill="1" applyBorder="1">
      <alignment vertical="center"/>
    </xf>
    <xf numFmtId="0" fontId="12" fillId="3" borderId="12" xfId="0" applyFont="1" applyFill="1" applyBorder="1">
      <alignment vertical="center"/>
    </xf>
    <xf numFmtId="9" fontId="12" fillId="2" borderId="1" xfId="0" applyNumberFormat="1" applyFont="1" applyFill="1" applyBorder="1" applyAlignment="1">
      <alignment horizontal="right" vertical="center" indent="1"/>
    </xf>
    <xf numFmtId="0" fontId="13" fillId="5" borderId="1" xfId="0" applyFont="1" applyFill="1" applyBorder="1" applyAlignment="1">
      <alignment horizontal="center" vertical="center" wrapText="1"/>
    </xf>
    <xf numFmtId="0" fontId="12" fillId="7" borderId="4" xfId="4" applyFont="1" applyFill="1" applyBorder="1" applyAlignment="1">
      <alignment vertical="center" shrinkToFit="1"/>
    </xf>
    <xf numFmtId="177" fontId="36" fillId="2" borderId="1" xfId="4" applyNumberFormat="1" applyFont="1" applyFill="1" applyBorder="1" applyAlignment="1">
      <alignment horizontal="right" vertical="center"/>
    </xf>
    <xf numFmtId="184" fontId="12" fillId="3" borderId="5" xfId="0" applyNumberFormat="1" applyFont="1" applyFill="1" applyBorder="1">
      <alignment vertical="center"/>
    </xf>
    <xf numFmtId="192" fontId="36" fillId="3" borderId="1" xfId="4" applyNumberFormat="1" applyFont="1" applyFill="1" applyBorder="1" applyAlignment="1">
      <alignment vertical="center" shrinkToFit="1"/>
    </xf>
    <xf numFmtId="193" fontId="12" fillId="8" borderId="8" xfId="4" applyNumberFormat="1" applyFont="1" applyFill="1" applyBorder="1" applyAlignment="1">
      <alignment vertical="center"/>
    </xf>
    <xf numFmtId="193" fontId="12" fillId="8" borderId="11" xfId="4" applyNumberFormat="1" applyFont="1" applyFill="1" applyBorder="1" applyAlignment="1">
      <alignment vertical="center"/>
    </xf>
    <xf numFmtId="193" fontId="12" fillId="8" borderId="9" xfId="4" applyNumberFormat="1" applyFont="1" applyFill="1" applyBorder="1" applyAlignment="1">
      <alignment vertical="center"/>
    </xf>
    <xf numFmtId="193" fontId="12" fillId="8" borderId="10" xfId="4" applyNumberFormat="1" applyFont="1" applyFill="1" applyBorder="1" applyAlignment="1">
      <alignment vertical="center"/>
    </xf>
    <xf numFmtId="189" fontId="36" fillId="0" borderId="1" xfId="4" applyNumberFormat="1" applyFont="1" applyBorder="1" applyAlignment="1">
      <alignment vertical="center" wrapText="1"/>
    </xf>
    <xf numFmtId="0" fontId="12" fillId="8" borderId="11" xfId="4" applyFont="1" applyFill="1" applyBorder="1" applyAlignment="1">
      <alignment vertical="center"/>
    </xf>
    <xf numFmtId="0" fontId="12" fillId="8" borderId="10" xfId="4" applyFont="1" applyFill="1" applyBorder="1" applyAlignment="1">
      <alignment horizontal="centerContinuous"/>
    </xf>
    <xf numFmtId="0" fontId="36" fillId="8" borderId="1" xfId="4" applyFont="1" applyFill="1" applyBorder="1" applyAlignment="1">
      <alignment horizontal="center" vertical="center"/>
    </xf>
    <xf numFmtId="189" fontId="36" fillId="3" borderId="1" xfId="4" applyNumberFormat="1" applyFont="1" applyFill="1" applyBorder="1" applyAlignment="1">
      <alignment vertical="center"/>
    </xf>
    <xf numFmtId="9" fontId="36" fillId="0" borderId="1" xfId="5" applyFont="1" applyBorder="1" applyAlignment="1" applyProtection="1">
      <alignment vertical="center"/>
    </xf>
    <xf numFmtId="0" fontId="61" fillId="7" borderId="0" xfId="0" applyFont="1" applyFill="1">
      <alignment vertical="center"/>
    </xf>
    <xf numFmtId="0" fontId="0" fillId="7" borderId="0" xfId="0" applyFill="1">
      <alignment vertical="center"/>
    </xf>
    <xf numFmtId="0" fontId="20" fillId="7" borderId="0" xfId="0" applyFont="1" applyFill="1">
      <alignment vertical="center"/>
    </xf>
    <xf numFmtId="0" fontId="0" fillId="24" borderId="0" xfId="0" applyFill="1">
      <alignment vertical="center"/>
    </xf>
    <xf numFmtId="0" fontId="20" fillId="24" borderId="0" xfId="0" applyFont="1" applyFill="1">
      <alignment vertical="center"/>
    </xf>
    <xf numFmtId="0" fontId="12" fillId="24" borderId="0" xfId="4" applyFont="1" applyFill="1"/>
    <xf numFmtId="0" fontId="36" fillId="24" borderId="0" xfId="4" applyFont="1" applyFill="1"/>
    <xf numFmtId="0" fontId="36" fillId="24" borderId="0" xfId="0" applyFont="1" applyFill="1">
      <alignment vertical="center"/>
    </xf>
    <xf numFmtId="0" fontId="0" fillId="21" borderId="0" xfId="0" applyFill="1">
      <alignment vertical="center"/>
    </xf>
    <xf numFmtId="0" fontId="20" fillId="21" borderId="0" xfId="0" applyFont="1" applyFill="1">
      <alignment vertical="center"/>
    </xf>
    <xf numFmtId="178" fontId="36" fillId="0" borderId="1" xfId="0" applyNumberFormat="1" applyFont="1" applyBorder="1">
      <alignment vertical="center"/>
    </xf>
    <xf numFmtId="178" fontId="7" fillId="0" borderId="1" xfId="0" applyNumberFormat="1" applyFont="1" applyBorder="1">
      <alignment vertical="center"/>
    </xf>
    <xf numFmtId="184" fontId="7" fillId="10" borderId="1" xfId="0" applyNumberFormat="1" applyFont="1" applyFill="1" applyBorder="1">
      <alignment vertical="center"/>
    </xf>
    <xf numFmtId="178" fontId="7" fillId="3" borderId="1" xfId="0" applyNumberFormat="1" applyFont="1" applyFill="1" applyBorder="1">
      <alignment vertical="center"/>
    </xf>
    <xf numFmtId="189" fontId="36" fillId="0" borderId="1" xfId="6" applyNumberFormat="1" applyFont="1" applyBorder="1" applyAlignment="1">
      <alignment vertical="center"/>
    </xf>
    <xf numFmtId="0" fontId="68" fillId="0" borderId="0" xfId="0" applyFont="1" applyAlignment="1">
      <alignment horizontal="left" vertical="center"/>
    </xf>
    <xf numFmtId="0" fontId="0" fillId="0" borderId="0" xfId="0" applyAlignment="1">
      <alignment vertical="top"/>
    </xf>
    <xf numFmtId="179" fontId="70" fillId="5" borderId="1" xfId="0" applyNumberFormat="1" applyFont="1" applyFill="1" applyBorder="1" applyAlignment="1">
      <alignment horizontal="right" vertical="center" wrapText="1"/>
    </xf>
    <xf numFmtId="178" fontId="70" fillId="5" borderId="1" xfId="0" applyNumberFormat="1" applyFont="1" applyFill="1" applyBorder="1" applyAlignment="1">
      <alignment horizontal="right" vertical="center"/>
    </xf>
    <xf numFmtId="0" fontId="72" fillId="0" borderId="0" xfId="0" applyFont="1">
      <alignment vertical="center"/>
    </xf>
    <xf numFmtId="0" fontId="69" fillId="5" borderId="1" xfId="0" applyFont="1" applyFill="1" applyBorder="1" applyAlignment="1">
      <alignment horizontal="center" vertical="center"/>
    </xf>
    <xf numFmtId="191" fontId="70" fillId="5" borderId="1" xfId="0" applyNumberFormat="1" applyFont="1" applyFill="1" applyBorder="1" applyAlignment="1">
      <alignment horizontal="right" vertical="center"/>
    </xf>
    <xf numFmtId="193" fontId="58" fillId="5" borderId="1" xfId="0" applyNumberFormat="1" applyFont="1" applyFill="1" applyBorder="1" applyAlignment="1">
      <alignment horizontal="center" vertical="center"/>
    </xf>
    <xf numFmtId="0" fontId="69" fillId="5" borderId="1" xfId="0" applyFont="1" applyFill="1" applyBorder="1" applyAlignment="1">
      <alignment horizontal="center" vertical="center" shrinkToFit="1"/>
    </xf>
    <xf numFmtId="0" fontId="58" fillId="25" borderId="1" xfId="0" applyFont="1" applyFill="1" applyBorder="1" applyAlignment="1">
      <alignment horizontal="center" vertical="center"/>
    </xf>
    <xf numFmtId="179" fontId="70" fillId="11" borderId="1" xfId="0" applyNumberFormat="1" applyFont="1" applyFill="1" applyBorder="1">
      <alignment vertical="center"/>
    </xf>
    <xf numFmtId="185" fontId="70" fillId="5" borderId="1" xfId="0" applyNumberFormat="1" applyFont="1" applyFill="1" applyBorder="1" applyAlignment="1">
      <alignment horizontal="right" vertical="center"/>
    </xf>
    <xf numFmtId="0" fontId="68" fillId="0" borderId="0" xfId="0" applyFont="1">
      <alignment vertical="center"/>
    </xf>
    <xf numFmtId="0" fontId="68" fillId="0" borderId="0" xfId="0" applyFont="1" applyAlignment="1">
      <alignment horizontal="center" vertical="center"/>
    </xf>
    <xf numFmtId="0" fontId="73" fillId="0" borderId="0" xfId="0" applyFont="1">
      <alignment vertical="center"/>
    </xf>
    <xf numFmtId="0" fontId="74" fillId="0" borderId="0" xfId="0" applyFont="1">
      <alignment vertical="center"/>
    </xf>
    <xf numFmtId="0" fontId="58" fillId="0" borderId="0" xfId="0" applyFont="1">
      <alignment vertical="center"/>
    </xf>
    <xf numFmtId="179" fontId="69" fillId="0" borderId="2" xfId="0" applyNumberFormat="1" applyFont="1" applyBorder="1" applyAlignment="1">
      <alignment horizontal="center" vertical="center"/>
    </xf>
    <xf numFmtId="179" fontId="70" fillId="5" borderId="3" xfId="0" applyNumberFormat="1" applyFont="1" applyFill="1" applyBorder="1" applyAlignment="1">
      <alignment horizontal="right" vertical="center"/>
    </xf>
    <xf numFmtId="179" fontId="69" fillId="5" borderId="2" xfId="0" applyNumberFormat="1" applyFont="1" applyFill="1" applyBorder="1" applyAlignment="1">
      <alignment horizontal="center" vertical="center"/>
    </xf>
    <xf numFmtId="0" fontId="70" fillId="5" borderId="3" xfId="0" applyFont="1" applyFill="1" applyBorder="1" applyAlignment="1">
      <alignment horizontal="left" vertical="center" wrapText="1"/>
    </xf>
    <xf numFmtId="0" fontId="69" fillId="5" borderId="2" xfId="0" applyFont="1" applyFill="1" applyBorder="1" applyAlignment="1">
      <alignment horizontal="center" vertical="center"/>
    </xf>
    <xf numFmtId="0" fontId="58" fillId="0" borderId="13" xfId="0" applyFont="1" applyBorder="1">
      <alignment vertical="center"/>
    </xf>
    <xf numFmtId="0" fontId="69" fillId="0" borderId="0" xfId="0" applyFont="1" applyAlignment="1">
      <alignment vertical="top" wrapText="1"/>
    </xf>
    <xf numFmtId="0" fontId="70" fillId="0" borderId="8" xfId="0" applyFont="1" applyBorder="1" applyAlignment="1">
      <alignment vertical="center" wrapText="1"/>
    </xf>
    <xf numFmtId="0" fontId="70" fillId="0" borderId="12" xfId="0" applyFont="1" applyBorder="1" applyAlignment="1">
      <alignment wrapText="1"/>
    </xf>
    <xf numFmtId="0" fontId="70" fillId="0" borderId="11" xfId="0" applyFont="1" applyBorder="1" applyAlignment="1">
      <alignment horizontal="left" wrapText="1"/>
    </xf>
    <xf numFmtId="179" fontId="71" fillId="0" borderId="8" xfId="0" applyNumberFormat="1" applyFont="1" applyBorder="1">
      <alignment vertical="center"/>
    </xf>
    <xf numFmtId="179" fontId="76" fillId="0" borderId="11" xfId="0" applyNumberFormat="1" applyFont="1" applyBorder="1" applyAlignment="1">
      <alignment horizontal="center" vertical="center" wrapText="1"/>
    </xf>
    <xf numFmtId="0" fontId="69" fillId="0" borderId="9" xfId="0" applyFont="1" applyBorder="1" applyAlignment="1">
      <alignment horizontal="right" vertical="center"/>
    </xf>
    <xf numFmtId="0" fontId="70" fillId="11" borderId="15" xfId="0" applyFont="1" applyFill="1" applyBorder="1" applyAlignment="1">
      <alignment vertical="center" wrapText="1"/>
    </xf>
    <xf numFmtId="0" fontId="69" fillId="0" borderId="10" xfId="0" applyFont="1" applyBorder="1" applyAlignment="1">
      <alignment horizontal="left" vertical="center" wrapText="1"/>
    </xf>
    <xf numFmtId="179" fontId="76" fillId="5" borderId="10" xfId="0" applyNumberFormat="1" applyFont="1" applyFill="1" applyBorder="1" applyAlignment="1">
      <alignment horizontal="center" vertical="center"/>
    </xf>
    <xf numFmtId="0" fontId="58" fillId="0" borderId="0" xfId="0" applyFont="1" applyAlignment="1">
      <alignment vertical="center" wrapText="1"/>
    </xf>
    <xf numFmtId="0" fontId="0" fillId="0" borderId="0" xfId="0" quotePrefix="1">
      <alignment vertical="center"/>
    </xf>
    <xf numFmtId="179" fontId="76" fillId="0" borderId="11" xfId="0" applyNumberFormat="1" applyFont="1" applyBorder="1" applyAlignment="1">
      <alignment horizontal="center" vertical="center"/>
    </xf>
    <xf numFmtId="179" fontId="71" fillId="0" borderId="9" xfId="0" applyNumberFormat="1" applyFont="1" applyBorder="1">
      <alignment vertical="center"/>
    </xf>
    <xf numFmtId="179" fontId="76" fillId="0" borderId="10" xfId="0" applyNumberFormat="1" applyFont="1" applyBorder="1" applyAlignment="1">
      <alignment horizontal="center" vertical="center"/>
    </xf>
    <xf numFmtId="193" fontId="71" fillId="5" borderId="3" xfId="0" applyNumberFormat="1" applyFont="1" applyFill="1" applyBorder="1">
      <alignment vertical="center"/>
    </xf>
    <xf numFmtId="179" fontId="76" fillId="5" borderId="2" xfId="0" applyNumberFormat="1" applyFont="1" applyFill="1" applyBorder="1" applyAlignment="1">
      <alignment horizontal="center" vertical="center"/>
    </xf>
    <xf numFmtId="0" fontId="58" fillId="5" borderId="3" xfId="0" applyFont="1" applyFill="1" applyBorder="1" applyAlignment="1">
      <alignment horizontal="left" vertical="center" wrapText="1"/>
    </xf>
    <xf numFmtId="0" fontId="69" fillId="5" borderId="2" xfId="0" applyFont="1" applyFill="1" applyBorder="1" applyAlignment="1">
      <alignment horizontal="justify" vertical="center"/>
    </xf>
    <xf numFmtId="0" fontId="58" fillId="5" borderId="3" xfId="0" applyFont="1" applyFill="1" applyBorder="1" applyAlignment="1">
      <alignment horizontal="left" vertical="center"/>
    </xf>
    <xf numFmtId="0" fontId="0" fillId="0" borderId="0" xfId="0" applyAlignment="1">
      <alignment horizontal="center" vertical="center"/>
    </xf>
    <xf numFmtId="179" fontId="70" fillId="11" borderId="3" xfId="0" applyNumberFormat="1" applyFont="1" applyFill="1" applyBorder="1">
      <alignment vertical="center"/>
    </xf>
    <xf numFmtId="0" fontId="9" fillId="3" borderId="15" xfId="0" applyFont="1" applyFill="1" applyBorder="1">
      <alignment vertical="center"/>
    </xf>
    <xf numFmtId="0" fontId="58" fillId="0" borderId="4" xfId="0" applyFont="1" applyBorder="1" applyAlignment="1">
      <alignment horizontal="left" vertical="center"/>
    </xf>
    <xf numFmtId="0" fontId="58" fillId="0" borderId="4" xfId="0" applyFont="1" applyBorder="1">
      <alignment vertical="center"/>
    </xf>
    <xf numFmtId="0" fontId="58" fillId="0" borderId="2" xfId="0" applyFont="1" applyBorder="1">
      <alignment vertical="center"/>
    </xf>
    <xf numFmtId="0" fontId="66" fillId="0" borderId="0" xfId="0" applyFont="1">
      <alignment vertical="center"/>
    </xf>
    <xf numFmtId="179" fontId="71" fillId="11" borderId="8" xfId="0" applyNumberFormat="1" applyFont="1" applyFill="1" applyBorder="1">
      <alignment vertical="center"/>
    </xf>
    <xf numFmtId="187" fontId="71" fillId="0" borderId="9" xfId="0" applyNumberFormat="1" applyFont="1" applyBorder="1">
      <alignment vertical="center"/>
    </xf>
    <xf numFmtId="193" fontId="71" fillId="0" borderId="9" xfId="0" applyNumberFormat="1" applyFont="1" applyBorder="1">
      <alignment vertical="center"/>
    </xf>
    <xf numFmtId="0" fontId="70" fillId="0" borderId="8" xfId="0" applyFont="1" applyBorder="1">
      <alignment vertical="center"/>
    </xf>
    <xf numFmtId="0" fontId="58" fillId="23" borderId="4" xfId="0" applyFont="1" applyFill="1" applyBorder="1" applyAlignment="1">
      <alignment horizontal="right" vertical="center"/>
    </xf>
    <xf numFmtId="0" fontId="58" fillId="23" borderId="3" xfId="0" applyFont="1" applyFill="1" applyBorder="1" applyAlignment="1">
      <alignment horizontal="right" vertical="center"/>
    </xf>
    <xf numFmtId="0" fontId="77" fillId="2" borderId="1" xfId="0" applyFont="1" applyFill="1" applyBorder="1" applyAlignment="1">
      <alignment horizontal="center" vertical="center" shrinkToFit="1"/>
    </xf>
    <xf numFmtId="0" fontId="70" fillId="23" borderId="1" xfId="0" applyFont="1" applyFill="1" applyBorder="1" applyAlignment="1">
      <alignment horizontal="center" vertical="center"/>
    </xf>
    <xf numFmtId="0" fontId="78" fillId="2" borderId="4" xfId="0" applyFont="1" applyFill="1" applyBorder="1" applyAlignment="1">
      <alignment horizontal="center" vertical="center"/>
    </xf>
    <xf numFmtId="193" fontId="3" fillId="3" borderId="1" xfId="0" applyNumberFormat="1" applyFont="1" applyFill="1" applyBorder="1" applyAlignment="1">
      <alignment vertical="center" shrinkToFit="1"/>
    </xf>
    <xf numFmtId="193" fontId="3" fillId="3" borderId="44" xfId="0" applyNumberFormat="1" applyFont="1" applyFill="1" applyBorder="1" applyAlignment="1">
      <alignment vertical="center" shrinkToFit="1"/>
    </xf>
    <xf numFmtId="193" fontId="3" fillId="3" borderId="52" xfId="0" applyNumberFormat="1" applyFont="1" applyFill="1" applyBorder="1" applyAlignment="1">
      <alignment vertical="center" shrinkToFit="1"/>
    </xf>
    <xf numFmtId="193" fontId="3" fillId="3" borderId="43" xfId="0" applyNumberFormat="1" applyFont="1" applyFill="1" applyBorder="1" applyAlignment="1">
      <alignment vertical="center" shrinkToFit="1"/>
    </xf>
    <xf numFmtId="0" fontId="79" fillId="0" borderId="0" xfId="0" applyFont="1">
      <alignment vertical="center"/>
    </xf>
    <xf numFmtId="183" fontId="12" fillId="0" borderId="70" xfId="0" applyNumberFormat="1" applyFont="1" applyBorder="1">
      <alignment vertical="center"/>
    </xf>
    <xf numFmtId="0" fontId="40" fillId="5" borderId="5" xfId="0" applyFont="1" applyFill="1" applyBorder="1" applyAlignment="1">
      <alignment vertical="center" shrinkToFit="1"/>
    </xf>
    <xf numFmtId="0" fontId="40" fillId="5" borderId="7" xfId="0" applyFont="1" applyFill="1" applyBorder="1" applyAlignment="1">
      <alignment vertical="center" shrinkToFit="1"/>
    </xf>
    <xf numFmtId="0" fontId="40" fillId="6" borderId="1" xfId="0" applyFont="1" applyFill="1" applyBorder="1" applyAlignment="1">
      <alignment vertical="center" shrinkToFit="1"/>
    </xf>
    <xf numFmtId="0" fontId="40" fillId="24" borderId="1" xfId="0" applyFont="1" applyFill="1" applyBorder="1" applyAlignment="1">
      <alignment vertical="center" shrinkToFit="1"/>
    </xf>
    <xf numFmtId="0" fontId="40" fillId="24" borderId="5" xfId="0" applyFont="1" applyFill="1" applyBorder="1" applyAlignment="1">
      <alignment vertical="center" shrinkToFit="1"/>
    </xf>
    <xf numFmtId="0" fontId="40" fillId="24" borderId="7" xfId="0" applyFont="1" applyFill="1" applyBorder="1" applyAlignment="1">
      <alignment vertical="center" shrinkToFit="1"/>
    </xf>
    <xf numFmtId="0" fontId="40" fillId="3" borderId="1" xfId="0" applyFont="1" applyFill="1" applyBorder="1" applyAlignment="1">
      <alignment vertical="center" shrinkToFit="1"/>
    </xf>
    <xf numFmtId="0" fontId="40" fillId="3" borderId="5" xfId="0" applyFont="1" applyFill="1" applyBorder="1" applyAlignment="1">
      <alignment vertical="center" shrinkToFit="1"/>
    </xf>
    <xf numFmtId="0" fontId="40" fillId="3" borderId="7" xfId="0" applyFont="1" applyFill="1" applyBorder="1" applyAlignment="1">
      <alignment vertical="center" shrinkToFit="1"/>
    </xf>
    <xf numFmtId="0" fontId="80" fillId="3" borderId="8" xfId="0" applyFont="1" applyFill="1" applyBorder="1" applyAlignment="1">
      <alignment vertical="center" shrinkToFit="1"/>
    </xf>
    <xf numFmtId="0" fontId="81" fillId="3" borderId="12" xfId="0" applyFont="1" applyFill="1" applyBorder="1" applyAlignment="1">
      <alignment vertical="center" shrinkToFit="1"/>
    </xf>
    <xf numFmtId="0" fontId="81" fillId="3" borderId="13" xfId="0" applyFont="1" applyFill="1" applyBorder="1" applyAlignment="1">
      <alignment vertical="center" shrinkToFit="1"/>
    </xf>
    <xf numFmtId="0" fontId="81" fillId="3" borderId="0" xfId="0" applyFont="1" applyFill="1" applyAlignment="1">
      <alignment vertical="center" shrinkToFit="1"/>
    </xf>
    <xf numFmtId="0" fontId="81" fillId="3" borderId="9" xfId="0" applyFont="1" applyFill="1" applyBorder="1" applyAlignment="1">
      <alignment vertical="center" shrinkToFit="1"/>
    </xf>
    <xf numFmtId="0" fontId="81" fillId="3" borderId="15" xfId="0" applyFont="1" applyFill="1" applyBorder="1" applyAlignment="1">
      <alignment vertical="center" shrinkToFit="1"/>
    </xf>
    <xf numFmtId="0" fontId="41" fillId="4" borderId="1" xfId="0" applyFont="1" applyFill="1" applyBorder="1" applyAlignment="1">
      <alignment vertical="center" shrinkToFit="1"/>
    </xf>
    <xf numFmtId="0" fontId="41" fillId="3" borderId="1" xfId="0" applyFont="1" applyFill="1" applyBorder="1" applyAlignment="1">
      <alignment vertical="center" wrapText="1" shrinkToFit="1"/>
    </xf>
    <xf numFmtId="0" fontId="58" fillId="0" borderId="0" xfId="0" applyFont="1" applyAlignment="1">
      <alignment horizontal="center" vertical="center"/>
    </xf>
    <xf numFmtId="0" fontId="70" fillId="0" borderId="0" xfId="0" applyFont="1">
      <alignment vertical="center"/>
    </xf>
    <xf numFmtId="0" fontId="70" fillId="0" borderId="78" xfId="0" applyFont="1" applyBorder="1" applyAlignment="1">
      <alignment horizontal="center" vertical="center"/>
    </xf>
    <xf numFmtId="0" fontId="70" fillId="0" borderId="81" xfId="0" applyFont="1" applyBorder="1" applyAlignment="1">
      <alignment horizontal="center" vertical="center"/>
    </xf>
    <xf numFmtId="0" fontId="70" fillId="0" borderId="84" xfId="0" applyFont="1" applyBorder="1" applyAlignment="1">
      <alignment horizontal="center" vertical="center"/>
    </xf>
    <xf numFmtId="0" fontId="70" fillId="0" borderId="88" xfId="0" applyFont="1" applyBorder="1" applyAlignment="1">
      <alignment horizontal="center" vertical="center"/>
    </xf>
    <xf numFmtId="0" fontId="58" fillId="0" borderId="15" xfId="0" applyFont="1" applyBorder="1">
      <alignment vertical="center"/>
    </xf>
    <xf numFmtId="0" fontId="70" fillId="0" borderId="92" xfId="0" applyFont="1" applyBorder="1" applyAlignment="1">
      <alignment horizontal="center" vertical="center"/>
    </xf>
    <xf numFmtId="0" fontId="70" fillId="0" borderId="95" xfId="0" applyFont="1" applyBorder="1" applyAlignment="1">
      <alignment horizontal="center" vertical="center"/>
    </xf>
    <xf numFmtId="0" fontId="58" fillId="0" borderId="99" xfId="0" applyFont="1" applyBorder="1" applyAlignment="1">
      <alignment horizontal="center" vertical="center"/>
    </xf>
    <xf numFmtId="0" fontId="70" fillId="0" borderId="102" xfId="0" applyFont="1" applyBorder="1" applyAlignment="1">
      <alignment horizontal="center" vertical="center"/>
    </xf>
    <xf numFmtId="0" fontId="70" fillId="0" borderId="0" xfId="0" applyFont="1" applyAlignment="1">
      <alignment vertical="center" wrapText="1"/>
    </xf>
    <xf numFmtId="0" fontId="70" fillId="0" borderId="103" xfId="0" applyFont="1" applyBorder="1" applyAlignment="1">
      <alignment horizontal="center" vertical="center"/>
    </xf>
    <xf numFmtId="0" fontId="70" fillId="0" borderId="104" xfId="0" applyFont="1" applyBorder="1" applyAlignment="1">
      <alignment horizontal="center" vertical="center"/>
    </xf>
    <xf numFmtId="0" fontId="58" fillId="0" borderId="0" xfId="0" applyFont="1" applyAlignment="1">
      <alignment horizontal="left" vertical="center"/>
    </xf>
    <xf numFmtId="0" fontId="70" fillId="0" borderId="107" xfId="0" applyFont="1" applyBorder="1" applyAlignment="1">
      <alignment horizontal="center" vertical="center"/>
    </xf>
    <xf numFmtId="0" fontId="70" fillId="0" borderId="108" xfId="0" applyFont="1" applyBorder="1" applyAlignment="1">
      <alignment horizontal="center" vertical="center"/>
    </xf>
    <xf numFmtId="0" fontId="58" fillId="0" borderId="104" xfId="0" applyFont="1" applyBorder="1" applyAlignment="1">
      <alignment horizontal="center" vertical="center"/>
    </xf>
    <xf numFmtId="0" fontId="58" fillId="0" borderId="108" xfId="0" applyFont="1" applyBorder="1" applyAlignment="1">
      <alignment horizontal="center" vertical="center"/>
    </xf>
    <xf numFmtId="0" fontId="70" fillId="0" borderId="108" xfId="0" applyFont="1" applyBorder="1" applyAlignment="1">
      <alignment horizontal="center" vertical="center" wrapText="1"/>
    </xf>
    <xf numFmtId="0" fontId="70" fillId="0" borderId="104" xfId="0" applyFont="1" applyBorder="1" applyAlignment="1">
      <alignment horizontal="center" vertical="center" wrapText="1"/>
    </xf>
    <xf numFmtId="0" fontId="68" fillId="0" borderId="0" xfId="0" applyFont="1" applyAlignment="1"/>
    <xf numFmtId="0" fontId="58" fillId="0" borderId="0" xfId="0" applyFont="1" applyAlignment="1">
      <alignment horizontal="left" vertical="top"/>
    </xf>
    <xf numFmtId="0" fontId="58" fillId="0" borderId="0" xfId="0" applyFont="1" applyAlignment="1">
      <alignment horizontal="center" vertical="top"/>
    </xf>
    <xf numFmtId="189" fontId="12" fillId="0" borderId="1" xfId="6" applyNumberFormat="1" applyFont="1" applyFill="1" applyBorder="1" applyAlignment="1" applyProtection="1">
      <alignment vertical="center"/>
    </xf>
    <xf numFmtId="198" fontId="12" fillId="3" borderId="1" xfId="0" applyNumberFormat="1" applyFont="1" applyFill="1" applyBorder="1">
      <alignment vertical="center"/>
    </xf>
    <xf numFmtId="204" fontId="36" fillId="0" borderId="1" xfId="6" applyNumberFormat="1" applyFont="1" applyBorder="1" applyAlignment="1" applyProtection="1">
      <alignment vertical="center"/>
    </xf>
    <xf numFmtId="189" fontId="36" fillId="0" borderId="1" xfId="6" applyNumberFormat="1" applyFont="1" applyBorder="1" applyAlignment="1" applyProtection="1">
      <alignment vertical="center"/>
    </xf>
    <xf numFmtId="195" fontId="3" fillId="3" borderId="1" xfId="0" applyNumberFormat="1" applyFont="1" applyFill="1" applyBorder="1">
      <alignment vertical="center"/>
    </xf>
    <xf numFmtId="180" fontId="3" fillId="3" borderId="1" xfId="0" applyNumberFormat="1" applyFont="1" applyFill="1" applyBorder="1" applyAlignment="1">
      <alignment horizontal="center" vertical="center"/>
    </xf>
    <xf numFmtId="195" fontId="36" fillId="0" borderId="1" xfId="6" applyNumberFormat="1" applyFont="1" applyBorder="1" applyAlignment="1" applyProtection="1">
      <alignment vertical="center"/>
    </xf>
    <xf numFmtId="179" fontId="83" fillId="3" borderId="0" xfId="0" applyNumberFormat="1" applyFont="1" applyFill="1">
      <alignment vertical="center"/>
    </xf>
    <xf numFmtId="179" fontId="12" fillId="3" borderId="0" xfId="0" applyNumberFormat="1" applyFont="1" applyFill="1">
      <alignment vertical="center"/>
    </xf>
    <xf numFmtId="179" fontId="36" fillId="3" borderId="0" xfId="0" applyNumberFormat="1" applyFont="1" applyFill="1">
      <alignment vertical="center"/>
    </xf>
    <xf numFmtId="179" fontId="32" fillId="3" borderId="0" xfId="0" applyNumberFormat="1" applyFont="1" applyFill="1">
      <alignment vertical="center"/>
    </xf>
    <xf numFmtId="176" fontId="12" fillId="3" borderId="1" xfId="0" applyNumberFormat="1" applyFont="1" applyFill="1" applyBorder="1" applyAlignment="1">
      <alignment horizontal="center" vertical="center"/>
    </xf>
    <xf numFmtId="176" fontId="12" fillId="3" borderId="5" xfId="0" applyNumberFormat="1" applyFont="1" applyFill="1" applyBorder="1" applyAlignment="1">
      <alignment horizontal="center" vertical="center"/>
    </xf>
    <xf numFmtId="0" fontId="3" fillId="3" borderId="63" xfId="0" applyFont="1" applyFill="1" applyBorder="1">
      <alignment vertical="center"/>
    </xf>
    <xf numFmtId="0" fontId="12" fillId="4" borderId="124" xfId="0" applyFont="1" applyFill="1" applyBorder="1" applyAlignment="1">
      <alignment horizontal="center" vertical="center"/>
    </xf>
    <xf numFmtId="0" fontId="12" fillId="4" borderId="125" xfId="0" applyFont="1" applyFill="1" applyBorder="1" applyAlignment="1">
      <alignment horizontal="center" vertical="center"/>
    </xf>
    <xf numFmtId="0" fontId="12" fillId="4" borderId="126" xfId="0" applyFont="1" applyFill="1" applyBorder="1" applyAlignment="1">
      <alignment horizontal="center" vertical="center"/>
    </xf>
    <xf numFmtId="0" fontId="12" fillId="3" borderId="28" xfId="0" applyFont="1" applyFill="1" applyBorder="1">
      <alignment vertical="center"/>
    </xf>
    <xf numFmtId="0" fontId="12" fillId="3" borderId="128" xfId="0" applyFont="1" applyFill="1" applyBorder="1">
      <alignment vertical="center"/>
    </xf>
    <xf numFmtId="176" fontId="12" fillId="2" borderId="127" xfId="0" applyNumberFormat="1" applyFont="1" applyFill="1" applyBorder="1" applyAlignment="1">
      <alignment horizontal="right" vertical="center"/>
    </xf>
    <xf numFmtId="176" fontId="12" fillId="2" borderId="129" xfId="0" applyNumberFormat="1" applyFont="1" applyFill="1" applyBorder="1" applyAlignment="1">
      <alignment horizontal="right" vertical="center"/>
    </xf>
    <xf numFmtId="176" fontId="12" fillId="2" borderId="63" xfId="0" applyNumberFormat="1" applyFont="1" applyFill="1" applyBorder="1" applyAlignment="1">
      <alignment horizontal="right" vertical="center"/>
    </xf>
    <xf numFmtId="0" fontId="13" fillId="3" borderId="0" xfId="0" applyFont="1" applyFill="1" applyAlignment="1">
      <alignment horizontal="right" vertical="center"/>
    </xf>
    <xf numFmtId="204" fontId="36" fillId="0" borderId="1" xfId="0" applyNumberFormat="1" applyFont="1" applyBorder="1">
      <alignment vertical="center"/>
    </xf>
    <xf numFmtId="179" fontId="36" fillId="3" borderId="1" xfId="4" applyNumberFormat="1" applyFont="1" applyFill="1" applyBorder="1" applyAlignment="1">
      <alignment horizontal="right" vertical="center"/>
    </xf>
    <xf numFmtId="0" fontId="12" fillId="8"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7" borderId="4" xfId="4" applyFont="1" applyFill="1" applyBorder="1"/>
    <xf numFmtId="0" fontId="12" fillId="8" borderId="12" xfId="4" applyFont="1" applyFill="1" applyBorder="1" applyAlignment="1">
      <alignment vertical="center"/>
    </xf>
    <xf numFmtId="0" fontId="12" fillId="8" borderId="15" xfId="4" applyFont="1" applyFill="1" applyBorder="1" applyAlignment="1">
      <alignment horizontal="centerContinuous"/>
    </xf>
    <xf numFmtId="0" fontId="12" fillId="7" borderId="2" xfId="4" applyFont="1" applyFill="1" applyBorder="1" applyAlignment="1">
      <alignment vertical="center" wrapText="1"/>
    </xf>
    <xf numFmtId="178" fontId="3" fillId="7" borderId="47" xfId="0" applyNumberFormat="1" applyFont="1" applyFill="1" applyBorder="1" applyAlignment="1">
      <alignment horizontal="right" vertical="center" shrinkToFit="1"/>
    </xf>
    <xf numFmtId="178" fontId="3" fillId="7" borderId="48" xfId="0" applyNumberFormat="1" applyFont="1" applyFill="1" applyBorder="1" applyAlignment="1">
      <alignment horizontal="right" vertical="center" shrinkToFit="1"/>
    </xf>
    <xf numFmtId="178" fontId="3" fillId="7" borderId="1" xfId="0" applyNumberFormat="1" applyFont="1" applyFill="1" applyBorder="1" applyAlignment="1">
      <alignment horizontal="right" vertical="center" shrinkToFit="1"/>
    </xf>
    <xf numFmtId="178" fontId="3" fillId="7" borderId="52" xfId="0" applyNumberFormat="1" applyFont="1" applyFill="1" applyBorder="1" applyAlignment="1">
      <alignment horizontal="right" vertical="center" shrinkToFit="1"/>
    </xf>
    <xf numFmtId="0" fontId="3" fillId="5" borderId="3"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5" xfId="0" applyFont="1" applyFill="1" applyBorder="1">
      <alignment vertical="center"/>
    </xf>
    <xf numFmtId="0" fontId="3" fillId="5" borderId="1" xfId="0" applyFont="1" applyFill="1" applyBorder="1">
      <alignment vertical="center"/>
    </xf>
    <xf numFmtId="0" fontId="12" fillId="8" borderId="1" xfId="0" applyFont="1" applyFill="1" applyBorder="1" applyAlignment="1">
      <alignment horizontal="center" vertical="center"/>
    </xf>
    <xf numFmtId="0" fontId="12" fillId="5" borderId="1" xfId="4" applyFont="1" applyFill="1" applyBorder="1" applyAlignment="1">
      <alignment horizontal="center" vertical="center"/>
    </xf>
    <xf numFmtId="0" fontId="12" fillId="8" borderId="5" xfId="0" applyFont="1" applyFill="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3" fillId="3" borderId="2" xfId="0" applyFont="1" applyFill="1" applyBorder="1">
      <alignment vertical="center"/>
    </xf>
    <xf numFmtId="0" fontId="3" fillId="5" borderId="1" xfId="0" applyFont="1" applyFill="1" applyBorder="1" applyAlignment="1">
      <alignment horizontal="center" vertical="center" wrapText="1"/>
    </xf>
    <xf numFmtId="0" fontId="3" fillId="3" borderId="2" xfId="0" applyFont="1" applyFill="1" applyBorder="1" applyAlignment="1">
      <alignment horizontal="center" vertical="center"/>
    </xf>
    <xf numFmtId="0" fontId="12" fillId="8" borderId="40"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8" borderId="3" xfId="4" applyFont="1" applyFill="1" applyBorder="1" applyAlignment="1">
      <alignment horizontal="center" vertical="center" wrapText="1"/>
    </xf>
    <xf numFmtId="0" fontId="12" fillId="8"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5" borderId="2" xfId="4" applyFont="1" applyFill="1" applyBorder="1" applyAlignment="1">
      <alignment horizontal="center" vertical="center"/>
    </xf>
    <xf numFmtId="0" fontId="7" fillId="0" borderId="1" xfId="4" applyFont="1" applyBorder="1" applyAlignment="1">
      <alignment vertical="center"/>
    </xf>
    <xf numFmtId="0" fontId="7" fillId="2" borderId="1" xfId="4" applyFont="1" applyFill="1" applyBorder="1" applyAlignment="1">
      <alignment vertical="center" shrinkToFit="1"/>
    </xf>
    <xf numFmtId="0" fontId="7" fillId="9" borderId="1" xfId="4" applyFont="1" applyFill="1" applyBorder="1" applyAlignment="1">
      <alignment vertical="center" shrinkToFit="1"/>
    </xf>
    <xf numFmtId="9" fontId="7" fillId="0" borderId="1" xfId="4" applyNumberFormat="1" applyFont="1" applyBorder="1" applyAlignment="1">
      <alignment horizontal="center" vertical="center"/>
    </xf>
    <xf numFmtId="176" fontId="7" fillId="2" borderId="1" xfId="4" applyNumberFormat="1" applyFont="1" applyFill="1" applyBorder="1" applyAlignment="1">
      <alignment vertical="center"/>
    </xf>
    <xf numFmtId="0" fontId="7" fillId="2" borderId="1" xfId="4" applyFont="1" applyFill="1" applyBorder="1" applyAlignment="1">
      <alignment vertical="center"/>
    </xf>
    <xf numFmtId="0" fontId="7" fillId="2" borderId="1" xfId="4" applyFont="1" applyFill="1" applyBorder="1" applyAlignment="1">
      <alignment horizontal="right" vertical="center"/>
    </xf>
    <xf numFmtId="0" fontId="7" fillId="0" borderId="1" xfId="4" applyFont="1" applyBorder="1" applyAlignment="1">
      <alignment horizontal="left" vertical="center"/>
    </xf>
    <xf numFmtId="38" fontId="7" fillId="0" borderId="1" xfId="6" applyFont="1" applyFill="1" applyBorder="1" applyAlignment="1" applyProtection="1">
      <alignment horizontal="right" vertical="center"/>
    </xf>
    <xf numFmtId="9" fontId="7" fillId="2" borderId="1" xfId="4" applyNumberFormat="1" applyFont="1" applyFill="1" applyBorder="1" applyAlignment="1">
      <alignment horizontal="right" vertical="center"/>
    </xf>
    <xf numFmtId="191" fontId="7" fillId="0" borderId="1" xfId="4" applyNumberFormat="1" applyFont="1" applyBorder="1" applyAlignment="1">
      <alignment vertical="center" shrinkToFit="1"/>
    </xf>
    <xf numFmtId="193" fontId="7" fillId="0" borderId="1" xfId="4" applyNumberFormat="1" applyFont="1" applyBorder="1" applyAlignment="1">
      <alignment horizontal="right" vertical="center"/>
    </xf>
    <xf numFmtId="193" fontId="7" fillId="0" borderId="1" xfId="4" applyNumberFormat="1" applyFont="1" applyBorder="1" applyAlignment="1">
      <alignment horizontal="right" vertical="center" wrapText="1"/>
    </xf>
    <xf numFmtId="38" fontId="7" fillId="0" borderId="1" xfId="6" applyFont="1" applyFill="1" applyBorder="1" applyAlignment="1" applyProtection="1">
      <alignment vertical="center" wrapText="1"/>
    </xf>
    <xf numFmtId="177" fontId="7" fillId="0" borderId="1" xfId="4" applyNumberFormat="1" applyFont="1" applyBorder="1" applyAlignment="1">
      <alignment horizontal="right" vertical="center"/>
    </xf>
    <xf numFmtId="0" fontId="7" fillId="2" borderId="1" xfId="4" applyFont="1" applyFill="1" applyBorder="1" applyAlignment="1">
      <alignment horizontal="center" vertical="center" shrinkToFit="1"/>
    </xf>
    <xf numFmtId="0" fontId="7" fillId="2" borderId="1" xfId="4" applyFont="1" applyFill="1" applyBorder="1" applyAlignment="1" applyProtection="1">
      <alignment vertical="center" shrinkToFit="1"/>
      <protection locked="0"/>
    </xf>
    <xf numFmtId="9" fontId="7" fillId="2" borderId="1" xfId="4" applyNumberFormat="1" applyFont="1" applyFill="1" applyBorder="1" applyAlignment="1">
      <alignment vertical="center"/>
    </xf>
    <xf numFmtId="185" fontId="7" fillId="0" borderId="1" xfId="4" applyNumberFormat="1" applyFont="1" applyBorder="1" applyAlignment="1">
      <alignment horizontal="right" vertical="center"/>
    </xf>
    <xf numFmtId="9" fontId="7" fillId="0" borderId="1" xfId="4" applyNumberFormat="1" applyFont="1" applyBorder="1" applyAlignment="1">
      <alignment vertical="center"/>
    </xf>
    <xf numFmtId="186" fontId="7" fillId="0" borderId="1" xfId="4" applyNumberFormat="1" applyFont="1" applyBorder="1" applyAlignment="1">
      <alignment horizontal="right" vertical="center" wrapText="1"/>
    </xf>
    <xf numFmtId="38" fontId="7" fillId="0" borderId="1" xfId="6" applyFont="1" applyFill="1" applyBorder="1" applyAlignment="1" applyProtection="1">
      <alignment horizontal="center" vertical="center" wrapText="1"/>
    </xf>
    <xf numFmtId="1" fontId="7" fillId="0" borderId="1" xfId="4" applyNumberFormat="1" applyFont="1" applyBorder="1" applyAlignment="1">
      <alignment horizontal="right" vertical="center"/>
    </xf>
    <xf numFmtId="187" fontId="7" fillId="0" borderId="1" xfId="4" applyNumberFormat="1" applyFont="1" applyBorder="1" applyAlignment="1">
      <alignment horizontal="right" vertical="center" wrapText="1"/>
    </xf>
    <xf numFmtId="0" fontId="7" fillId="9" borderId="1" xfId="4" applyFont="1" applyFill="1" applyBorder="1" applyAlignment="1">
      <alignment vertical="center"/>
    </xf>
    <xf numFmtId="9" fontId="7" fillId="3" borderId="1" xfId="4" applyNumberFormat="1" applyFont="1" applyFill="1" applyBorder="1" applyAlignment="1" applyProtection="1">
      <alignment vertical="center" shrinkToFit="1"/>
      <protection locked="0"/>
    </xf>
    <xf numFmtId="0" fontId="7" fillId="9" borderId="1" xfId="4" applyFont="1" applyFill="1" applyBorder="1" applyAlignment="1" applyProtection="1">
      <alignment vertical="center" shrinkToFit="1"/>
      <protection locked="0"/>
    </xf>
    <xf numFmtId="0" fontId="7" fillId="2" borderId="4" xfId="4" applyFont="1" applyFill="1" applyBorder="1" applyAlignment="1">
      <alignment vertical="center"/>
    </xf>
    <xf numFmtId="0" fontId="7" fillId="9" borderId="1" xfId="4" applyFont="1" applyFill="1" applyBorder="1" applyAlignment="1">
      <alignment horizontal="center" vertical="center"/>
    </xf>
    <xf numFmtId="178" fontId="7" fillId="0" borderId="1" xfId="4" applyNumberFormat="1" applyFont="1" applyBorder="1" applyAlignment="1">
      <alignment vertical="center"/>
    </xf>
    <xf numFmtId="186" fontId="7" fillId="0" borderId="1" xfId="4" applyNumberFormat="1" applyFont="1" applyBorder="1" applyAlignment="1">
      <alignment vertical="center"/>
    </xf>
    <xf numFmtId="0" fontId="7" fillId="9" borderId="1" xfId="4" applyFont="1" applyFill="1" applyBorder="1" applyAlignment="1">
      <alignment horizontal="center" vertical="center" wrapText="1"/>
    </xf>
    <xf numFmtId="0" fontId="7" fillId="2" borderId="1" xfId="4" applyFont="1" applyFill="1" applyBorder="1" applyAlignment="1">
      <alignment vertical="center" wrapText="1"/>
    </xf>
    <xf numFmtId="0" fontId="7" fillId="0" borderId="4" xfId="4" applyFont="1" applyBorder="1" applyAlignment="1">
      <alignment vertical="center"/>
    </xf>
    <xf numFmtId="38" fontId="7" fillId="3" borderId="1" xfId="6" applyFont="1" applyFill="1" applyBorder="1" applyAlignment="1" applyProtection="1">
      <alignment horizontal="right" vertical="center"/>
    </xf>
    <xf numFmtId="177" fontId="7" fillId="0" borderId="1" xfId="4" applyNumberFormat="1" applyFont="1" applyBorder="1" applyAlignment="1">
      <alignment vertical="center"/>
    </xf>
    <xf numFmtId="190" fontId="7" fillId="0" borderId="1" xfId="4" applyNumberFormat="1" applyFont="1" applyBorder="1" applyAlignment="1">
      <alignment horizontal="right" vertical="center" wrapText="1"/>
    </xf>
    <xf numFmtId="189" fontId="7" fillId="0" borderId="1" xfId="6" applyNumberFormat="1" applyFont="1" applyFill="1" applyBorder="1" applyAlignment="1" applyProtection="1">
      <alignment horizontal="right" vertical="center"/>
    </xf>
    <xf numFmtId="0" fontId="7" fillId="0" borderId="1" xfId="4" applyFont="1" applyBorder="1" applyAlignment="1">
      <alignment vertical="center" wrapText="1"/>
    </xf>
    <xf numFmtId="0" fontId="7" fillId="2" borderId="1" xfId="4" applyFont="1" applyFill="1" applyBorder="1" applyAlignment="1">
      <alignment horizontal="right" vertical="center" wrapText="1"/>
    </xf>
    <xf numFmtId="9" fontId="7" fillId="0" borderId="1" xfId="4" applyNumberFormat="1" applyFont="1" applyBorder="1" applyAlignment="1">
      <alignment horizontal="right" vertical="center" wrapText="1"/>
    </xf>
    <xf numFmtId="1" fontId="7" fillId="0" borderId="1" xfId="4" applyNumberFormat="1" applyFont="1" applyBorder="1" applyAlignment="1">
      <alignment horizontal="right" vertical="center" wrapText="1"/>
    </xf>
    <xf numFmtId="9" fontId="7" fillId="3" borderId="1" xfId="4" applyNumberFormat="1" applyFont="1" applyFill="1" applyBorder="1" applyAlignment="1">
      <alignment horizontal="right" vertical="center" wrapText="1"/>
    </xf>
    <xf numFmtId="0" fontId="7" fillId="0" borderId="1" xfId="4" applyFont="1" applyBorder="1" applyAlignment="1">
      <alignment horizontal="right" vertical="center" wrapText="1"/>
    </xf>
    <xf numFmtId="194" fontId="7" fillId="0" borderId="1" xfId="4" applyNumberFormat="1" applyFont="1" applyBorder="1" applyAlignment="1">
      <alignment horizontal="right" vertical="center" wrapText="1"/>
    </xf>
    <xf numFmtId="9" fontId="7" fillId="0" borderId="1" xfId="4" applyNumberFormat="1" applyFont="1" applyBorder="1" applyAlignment="1">
      <alignment horizontal="right" vertical="center"/>
    </xf>
    <xf numFmtId="188" fontId="7" fillId="2" borderId="1" xfId="6" applyNumberFormat="1" applyFont="1" applyFill="1" applyBorder="1" applyAlignment="1" applyProtection="1">
      <alignment horizontal="right" vertical="center"/>
    </xf>
    <xf numFmtId="38" fontId="7" fillId="2" borderId="1" xfId="6" applyFont="1" applyFill="1" applyBorder="1" applyAlignment="1" applyProtection="1">
      <alignment horizontal="right" vertical="center"/>
    </xf>
    <xf numFmtId="186" fontId="7" fillId="0" borderId="1" xfId="4" applyNumberFormat="1" applyFont="1" applyBorder="1" applyAlignment="1">
      <alignment horizontal="right" vertical="center"/>
    </xf>
    <xf numFmtId="0" fontId="7" fillId="2" borderId="1" xfId="4" applyFont="1" applyFill="1" applyBorder="1" applyAlignment="1">
      <alignment horizontal="left" vertical="center" shrinkToFit="1"/>
    </xf>
    <xf numFmtId="190" fontId="7" fillId="0" borderId="1" xfId="4" applyNumberFormat="1" applyFont="1" applyBorder="1" applyAlignment="1">
      <alignment horizontal="right" vertical="center"/>
    </xf>
    <xf numFmtId="0" fontId="20" fillId="20" borderId="0" xfId="4" applyFont="1" applyFill="1" applyAlignment="1">
      <alignment vertical="center"/>
    </xf>
    <xf numFmtId="0" fontId="12" fillId="3" borderId="28" xfId="0" applyFont="1" applyFill="1" applyBorder="1" applyAlignment="1">
      <alignment vertical="center" shrinkToFit="1"/>
    </xf>
    <xf numFmtId="0" fontId="12" fillId="3" borderId="128" xfId="0" applyFont="1" applyFill="1" applyBorder="1" applyAlignment="1">
      <alignment vertical="center" shrinkToFit="1"/>
    </xf>
    <xf numFmtId="0" fontId="12" fillId="3" borderId="47" xfId="0" applyFont="1" applyFill="1" applyBorder="1" applyAlignment="1">
      <alignment vertical="center" shrinkToFit="1"/>
    </xf>
    <xf numFmtId="0" fontId="36" fillId="9" borderId="0" xfId="0" applyFont="1" applyFill="1">
      <alignment vertical="center"/>
    </xf>
    <xf numFmtId="0" fontId="12" fillId="4" borderId="133" xfId="0" applyFont="1" applyFill="1" applyBorder="1" applyAlignment="1">
      <alignment horizontal="center" vertical="center" shrinkToFit="1"/>
    </xf>
    <xf numFmtId="0" fontId="12" fillId="4" borderId="134" xfId="0" applyFont="1" applyFill="1" applyBorder="1" applyAlignment="1">
      <alignment horizontal="center" vertical="center" shrinkToFit="1"/>
    </xf>
    <xf numFmtId="0" fontId="12" fillId="4" borderId="135" xfId="0" applyFont="1" applyFill="1" applyBorder="1" applyAlignment="1">
      <alignment horizontal="center" vertical="center" shrinkToFit="1"/>
    </xf>
    <xf numFmtId="0" fontId="12" fillId="4" borderId="44" xfId="0" applyFont="1" applyFill="1" applyBorder="1" applyAlignment="1">
      <alignment horizontal="center" vertical="center" shrinkToFit="1"/>
    </xf>
    <xf numFmtId="176" fontId="12" fillId="2" borderId="127" xfId="0" applyNumberFormat="1" applyFont="1" applyFill="1" applyBorder="1" applyAlignment="1">
      <alignment horizontal="right" vertical="center" shrinkToFit="1"/>
    </xf>
    <xf numFmtId="0" fontId="12" fillId="3" borderId="52" xfId="0" applyFont="1" applyFill="1" applyBorder="1" applyAlignment="1">
      <alignment vertical="center" shrinkToFit="1"/>
    </xf>
    <xf numFmtId="176" fontId="12" fillId="2" borderId="129" xfId="0" applyNumberFormat="1" applyFont="1" applyFill="1" applyBorder="1" applyAlignment="1">
      <alignment horizontal="right" vertical="center" shrinkToFit="1"/>
    </xf>
    <xf numFmtId="176" fontId="12" fillId="2" borderId="47" xfId="0" applyNumberFormat="1" applyFont="1" applyFill="1" applyBorder="1" applyAlignment="1">
      <alignment horizontal="right" vertical="center" shrinkToFit="1"/>
    </xf>
    <xf numFmtId="0" fontId="12" fillId="3" borderId="48" xfId="0" applyFont="1" applyFill="1" applyBorder="1" applyAlignment="1">
      <alignment vertical="center" shrinkToFit="1"/>
    </xf>
    <xf numFmtId="0" fontId="12" fillId="3" borderId="1" xfId="0" applyFont="1" applyFill="1" applyBorder="1" applyAlignment="1">
      <alignment vertical="center" shrinkToFit="1"/>
    </xf>
    <xf numFmtId="0" fontId="12" fillId="24" borderId="0" xfId="4" quotePrefix="1" applyFont="1" applyFill="1"/>
    <xf numFmtId="0" fontId="36" fillId="0" borderId="1" xfId="0" applyFont="1" applyBorder="1">
      <alignment vertical="center"/>
    </xf>
    <xf numFmtId="0" fontId="36" fillId="2" borderId="1" xfId="4" applyFont="1" applyFill="1" applyBorder="1" applyAlignment="1">
      <alignment vertical="center" shrinkToFit="1"/>
    </xf>
    <xf numFmtId="0" fontId="36" fillId="0" borderId="1" xfId="0" applyFont="1" applyBorder="1" applyAlignment="1">
      <alignment vertical="center" shrinkToFit="1"/>
    </xf>
    <xf numFmtId="0" fontId="36" fillId="2" borderId="1" xfId="4" applyFont="1" applyFill="1" applyBorder="1" applyAlignment="1">
      <alignment horizontal="right" vertical="center" shrinkToFit="1"/>
    </xf>
    <xf numFmtId="182" fontId="36" fillId="2" borderId="1" xfId="4" applyNumberFormat="1" applyFont="1" applyFill="1" applyBorder="1" applyAlignment="1">
      <alignment horizontal="right" vertical="center" shrinkToFit="1"/>
    </xf>
    <xf numFmtId="177" fontId="36" fillId="2" borderId="1" xfId="4" applyNumberFormat="1" applyFont="1" applyFill="1" applyBorder="1" applyAlignment="1">
      <alignment horizontal="right" vertical="center" shrinkToFit="1"/>
    </xf>
    <xf numFmtId="180" fontId="36" fillId="3" borderId="1" xfId="4" applyNumberFormat="1" applyFont="1" applyFill="1" applyBorder="1" applyAlignment="1">
      <alignment horizontal="right" vertical="center" shrinkToFit="1"/>
    </xf>
    <xf numFmtId="180" fontId="36" fillId="3" borderId="1" xfId="4" applyNumberFormat="1" applyFont="1" applyFill="1" applyBorder="1" applyAlignment="1">
      <alignment vertical="center" shrinkToFit="1"/>
    </xf>
    <xf numFmtId="187" fontId="36" fillId="3" borderId="1" xfId="6" applyNumberFormat="1" applyFont="1" applyFill="1" applyBorder="1" applyAlignment="1" applyProtection="1">
      <alignment horizontal="right" vertical="center" shrinkToFit="1"/>
    </xf>
    <xf numFmtId="189" fontId="36" fillId="3" borderId="1" xfId="6" applyNumberFormat="1" applyFont="1" applyFill="1" applyBorder="1" applyAlignment="1" applyProtection="1">
      <alignment horizontal="right" vertical="center" shrinkToFit="1"/>
    </xf>
    <xf numFmtId="180" fontId="36" fillId="0" borderId="1" xfId="4" applyNumberFormat="1" applyFont="1" applyBorder="1" applyAlignment="1">
      <alignment horizontal="right" vertical="center" shrinkToFit="1"/>
    </xf>
    <xf numFmtId="186" fontId="36" fillId="0" borderId="1" xfId="4" applyNumberFormat="1" applyFont="1" applyBorder="1" applyAlignment="1">
      <alignment horizontal="right" vertical="center" shrinkToFit="1"/>
    </xf>
    <xf numFmtId="193" fontId="36" fillId="3" borderId="1" xfId="6" applyNumberFormat="1" applyFont="1" applyFill="1" applyBorder="1" applyAlignment="1" applyProtection="1">
      <alignment vertical="center" shrinkToFit="1"/>
      <protection locked="0"/>
    </xf>
    <xf numFmtId="179" fontId="36" fillId="3" borderId="1" xfId="6" applyNumberFormat="1" applyFont="1" applyFill="1" applyBorder="1" applyAlignment="1" applyProtection="1">
      <alignment horizontal="right" vertical="center" shrinkToFit="1"/>
    </xf>
    <xf numFmtId="179" fontId="36" fillId="2" borderId="1" xfId="6" applyNumberFormat="1" applyFont="1" applyFill="1" applyBorder="1" applyAlignment="1" applyProtection="1">
      <alignment horizontal="right" vertical="center" shrinkToFit="1"/>
    </xf>
    <xf numFmtId="186" fontId="36" fillId="3" borderId="1" xfId="6" applyNumberFormat="1" applyFont="1" applyFill="1" applyBorder="1" applyAlignment="1" applyProtection="1">
      <alignment horizontal="right" vertical="center"/>
    </xf>
    <xf numFmtId="0" fontId="36" fillId="9" borderId="1" xfId="4" applyFont="1" applyFill="1" applyBorder="1" applyAlignment="1">
      <alignment vertical="center" wrapText="1" shrinkToFit="1"/>
    </xf>
    <xf numFmtId="182" fontId="36" fillId="2" borderId="2" xfId="4" applyNumberFormat="1" applyFont="1" applyFill="1" applyBorder="1" applyAlignment="1">
      <alignment horizontal="right" vertical="center"/>
    </xf>
    <xf numFmtId="176" fontId="36" fillId="2" borderId="2" xfId="4" applyNumberFormat="1" applyFont="1" applyFill="1" applyBorder="1" applyAlignment="1">
      <alignment horizontal="right" vertical="center"/>
    </xf>
    <xf numFmtId="192" fontId="36" fillId="2" borderId="1" xfId="4" applyNumberFormat="1" applyFont="1" applyFill="1" applyBorder="1" applyAlignment="1">
      <alignment horizontal="right" vertical="center"/>
    </xf>
    <xf numFmtId="177" fontId="36" fillId="2" borderId="1" xfId="4" applyNumberFormat="1" applyFont="1" applyFill="1" applyBorder="1" applyAlignment="1">
      <alignment vertical="center" shrinkToFit="1"/>
    </xf>
    <xf numFmtId="180" fontId="36" fillId="9" borderId="1" xfId="0" applyNumberFormat="1" applyFont="1" applyFill="1" applyBorder="1" applyAlignment="1">
      <alignment vertical="center" wrapText="1" shrinkToFit="1"/>
    </xf>
    <xf numFmtId="0" fontId="78" fillId="23" borderId="4" xfId="0" applyFont="1" applyFill="1" applyBorder="1" applyAlignment="1">
      <alignment horizontal="center" vertical="center"/>
    </xf>
    <xf numFmtId="178" fontId="36" fillId="0" borderId="1" xfId="5" applyNumberFormat="1" applyFont="1" applyBorder="1" applyAlignment="1" applyProtection="1">
      <alignment vertical="center"/>
    </xf>
    <xf numFmtId="193" fontId="7" fillId="3" borderId="1" xfId="6" applyNumberFormat="1" applyFont="1" applyFill="1" applyBorder="1" applyAlignment="1" applyProtection="1">
      <alignment horizontal="center" vertical="center" shrinkToFit="1"/>
    </xf>
    <xf numFmtId="178" fontId="7" fillId="0" borderId="1" xfId="5" applyNumberFormat="1" applyFont="1" applyBorder="1" applyAlignment="1" applyProtection="1">
      <alignment vertical="center" shrinkToFit="1"/>
    </xf>
    <xf numFmtId="178" fontId="7" fillId="3" borderId="1" xfId="0" applyNumberFormat="1" applyFont="1" applyFill="1" applyBorder="1" applyAlignment="1">
      <alignment vertical="center" shrinkToFit="1"/>
    </xf>
    <xf numFmtId="189" fontId="3" fillId="3" borderId="1" xfId="0" applyNumberFormat="1" applyFont="1" applyFill="1" applyBorder="1" applyAlignment="1">
      <alignment horizontal="center" vertical="center"/>
    </xf>
    <xf numFmtId="189" fontId="7" fillId="3" borderId="1" xfId="6" applyNumberFormat="1" applyFont="1" applyFill="1" applyBorder="1" applyAlignment="1" applyProtection="1">
      <alignment horizontal="center" vertical="center" shrinkToFit="1"/>
    </xf>
    <xf numFmtId="189" fontId="3" fillId="3" borderId="1" xfId="0" applyNumberFormat="1" applyFont="1" applyFill="1" applyBorder="1" applyAlignment="1">
      <alignment vertical="center" shrinkToFit="1"/>
    </xf>
    <xf numFmtId="189" fontId="7" fillId="0" borderId="1" xfId="4" applyNumberFormat="1" applyFont="1" applyBorder="1" applyAlignment="1">
      <alignment vertical="center" shrinkToFit="1"/>
    </xf>
    <xf numFmtId="189" fontId="36" fillId="3" borderId="1" xfId="6" applyNumberFormat="1" applyFont="1" applyFill="1" applyBorder="1" applyAlignment="1" applyProtection="1">
      <alignment horizontal="center" vertical="center"/>
    </xf>
    <xf numFmtId="189" fontId="36" fillId="0" borderId="1" xfId="4" applyNumberFormat="1" applyFont="1" applyBorder="1" applyAlignment="1">
      <alignment vertical="center"/>
    </xf>
    <xf numFmtId="189" fontId="36" fillId="0" borderId="3" xfId="4" applyNumberFormat="1" applyFont="1" applyBorder="1" applyAlignment="1">
      <alignment vertical="center"/>
    </xf>
    <xf numFmtId="178" fontId="36" fillId="3" borderId="1" xfId="6" applyNumberFormat="1" applyFont="1" applyFill="1" applyBorder="1" applyAlignment="1" applyProtection="1">
      <alignment horizontal="center" vertical="center"/>
    </xf>
    <xf numFmtId="195" fontId="3" fillId="3" borderId="1" xfId="0" applyNumberFormat="1" applyFont="1" applyFill="1" applyBorder="1" applyAlignment="1">
      <alignment horizontal="center" vertical="center"/>
    </xf>
    <xf numFmtId="195" fontId="36" fillId="3" borderId="1" xfId="6" applyNumberFormat="1" applyFont="1" applyFill="1" applyBorder="1" applyAlignment="1" applyProtection="1">
      <alignment horizontal="right" vertical="center"/>
    </xf>
    <xf numFmtId="195" fontId="3" fillId="3" borderId="1" xfId="0" applyNumberFormat="1" applyFont="1" applyFill="1" applyBorder="1" applyAlignment="1">
      <alignment vertical="center" shrinkToFit="1"/>
    </xf>
    <xf numFmtId="195" fontId="7" fillId="3" borderId="1" xfId="6" applyNumberFormat="1" applyFont="1" applyFill="1" applyBorder="1" applyAlignment="1" applyProtection="1">
      <alignment horizontal="right" vertical="center" shrinkToFit="1"/>
    </xf>
    <xf numFmtId="205" fontId="3" fillId="0" borderId="1" xfId="0" applyNumberFormat="1" applyFont="1" applyBorder="1">
      <alignment vertical="center"/>
    </xf>
    <xf numFmtId="189" fontId="12" fillId="0" borderId="1" xfId="4" applyNumberFormat="1" applyFont="1" applyBorder="1" applyAlignment="1">
      <alignment vertical="center"/>
    </xf>
    <xf numFmtId="189" fontId="12" fillId="0" borderId="1" xfId="4" applyNumberFormat="1" applyFont="1" applyBorder="1" applyAlignment="1">
      <alignment horizontal="right" vertical="center" wrapText="1"/>
    </xf>
    <xf numFmtId="189" fontId="12" fillId="0" borderId="1" xfId="6" applyNumberFormat="1" applyFont="1" applyBorder="1" applyAlignment="1">
      <alignment vertical="center" shrinkToFit="1"/>
    </xf>
    <xf numFmtId="189" fontId="12" fillId="0" borderId="1" xfId="6" applyNumberFormat="1" applyFont="1" applyFill="1" applyBorder="1" applyAlignment="1">
      <alignment vertical="center" shrinkToFit="1"/>
    </xf>
    <xf numFmtId="189" fontId="12" fillId="0" borderId="1" xfId="4" applyNumberFormat="1" applyFont="1" applyBorder="1" applyAlignment="1">
      <alignment horizontal="right" vertical="center"/>
    </xf>
    <xf numFmtId="189" fontId="12" fillId="0" borderId="1" xfId="4" applyNumberFormat="1" applyFont="1" applyBorder="1" applyAlignment="1">
      <alignment vertical="center" wrapText="1"/>
    </xf>
    <xf numFmtId="189" fontId="36" fillId="0" borderId="1" xfId="6" applyNumberFormat="1" applyFont="1" applyFill="1" applyBorder="1" applyAlignment="1" applyProtection="1">
      <alignment vertical="center"/>
    </xf>
    <xf numFmtId="178" fontId="12" fillId="0" borderId="1" xfId="5" applyNumberFormat="1" applyFont="1" applyBorder="1" applyAlignment="1">
      <alignment vertical="center"/>
    </xf>
    <xf numFmtId="178" fontId="12" fillId="0" borderId="1" xfId="5" applyNumberFormat="1" applyFont="1" applyBorder="1" applyAlignment="1">
      <alignment horizontal="right" vertical="center"/>
    </xf>
    <xf numFmtId="0" fontId="9" fillId="3" borderId="0" xfId="0" applyFont="1" applyFill="1" applyAlignment="1">
      <alignment horizontal="left" vertical="center" indent="1"/>
    </xf>
    <xf numFmtId="0" fontId="7" fillId="21" borderId="5" xfId="0" applyFont="1" applyFill="1" applyBorder="1">
      <alignment vertical="center"/>
    </xf>
    <xf numFmtId="0" fontId="3" fillId="0" borderId="138" xfId="0" applyFont="1" applyBorder="1">
      <alignment vertical="center"/>
    </xf>
    <xf numFmtId="0" fontId="3" fillId="0" borderId="141" xfId="0" applyFont="1" applyBorder="1">
      <alignment vertical="center"/>
    </xf>
    <xf numFmtId="0" fontId="3" fillId="0" borderId="143" xfId="0" applyFont="1" applyBorder="1" applyAlignment="1">
      <alignment horizontal="center" vertical="center"/>
    </xf>
    <xf numFmtId="0" fontId="7" fillId="0" borderId="7" xfId="0" applyFont="1" applyBorder="1">
      <alignment vertical="center"/>
    </xf>
    <xf numFmtId="0" fontId="3" fillId="0" borderId="146" xfId="0" applyFont="1" applyBorder="1" applyAlignment="1">
      <alignment horizontal="center" vertical="center"/>
    </xf>
    <xf numFmtId="0" fontId="36" fillId="21" borderId="5" xfId="0" applyFont="1" applyFill="1" applyBorder="1">
      <alignment vertical="center"/>
    </xf>
    <xf numFmtId="180" fontId="36" fillId="3" borderId="5" xfId="0" applyNumberFormat="1" applyFont="1" applyFill="1" applyBorder="1">
      <alignment vertical="center"/>
    </xf>
    <xf numFmtId="0" fontId="12" fillId="0" borderId="7" xfId="0" applyFont="1" applyBorder="1">
      <alignment vertical="center"/>
    </xf>
    <xf numFmtId="0" fontId="12" fillId="0" borderId="146" xfId="0" applyFont="1" applyBorder="1" applyAlignment="1">
      <alignment horizontal="center" vertical="center"/>
    </xf>
    <xf numFmtId="0" fontId="12" fillId="21" borderId="5" xfId="0" applyFont="1" applyFill="1" applyBorder="1">
      <alignment vertical="center"/>
    </xf>
    <xf numFmtId="0" fontId="36" fillId="21" borderId="5" xfId="4" applyFont="1" applyFill="1" applyBorder="1" applyAlignment="1">
      <alignment vertical="center" shrinkToFit="1"/>
    </xf>
    <xf numFmtId="0" fontId="36" fillId="9" borderId="5" xfId="4" applyFont="1" applyFill="1" applyBorder="1" applyAlignment="1">
      <alignment vertical="center" shrinkToFit="1"/>
    </xf>
    <xf numFmtId="9" fontId="36" fillId="3" borderId="5" xfId="4" applyNumberFormat="1" applyFont="1" applyFill="1" applyBorder="1" applyAlignment="1" applyProtection="1">
      <alignment vertical="center" shrinkToFit="1"/>
      <protection locked="0"/>
    </xf>
    <xf numFmtId="0" fontId="36" fillId="21" borderId="5" xfId="4" applyFont="1" applyFill="1" applyBorder="1" applyAlignment="1">
      <alignment horizontal="center" vertical="center" shrinkToFit="1"/>
    </xf>
    <xf numFmtId="0" fontId="12" fillId="0" borderId="7" xfId="4" applyFont="1" applyBorder="1" applyAlignment="1">
      <alignment vertical="center"/>
    </xf>
    <xf numFmtId="0" fontId="12" fillId="0" borderId="7" xfId="4" applyFont="1" applyBorder="1" applyAlignment="1">
      <alignment vertical="center" shrinkToFit="1"/>
    </xf>
    <xf numFmtId="0" fontId="12" fillId="0" borderId="146" xfId="4" applyFont="1" applyBorder="1" applyAlignment="1">
      <alignment horizontal="center" vertical="center" shrinkToFit="1"/>
    </xf>
    <xf numFmtId="38" fontId="12" fillId="0" borderId="147" xfId="6" applyFont="1" applyBorder="1" applyAlignment="1" applyProtection="1">
      <alignment horizontal="right" vertical="center" shrinkToFit="1"/>
    </xf>
    <xf numFmtId="187" fontId="12" fillId="0" borderId="147" xfId="4" applyNumberFormat="1" applyFont="1" applyBorder="1" applyAlignment="1">
      <alignment horizontal="right" vertical="center" shrinkToFit="1"/>
    </xf>
    <xf numFmtId="0" fontId="12" fillId="21" borderId="5" xfId="4" applyFont="1" applyFill="1" applyBorder="1" applyAlignment="1">
      <alignment vertical="center" shrinkToFit="1"/>
    </xf>
    <xf numFmtId="0" fontId="12" fillId="21" borderId="5" xfId="4" applyFont="1" applyFill="1" applyBorder="1" applyAlignment="1">
      <alignment horizontal="center" vertical="center" shrinkToFit="1"/>
    </xf>
    <xf numFmtId="0" fontId="12" fillId="0" borderId="146" xfId="4" applyFont="1" applyBorder="1" applyAlignment="1">
      <alignment horizontal="center" vertical="center"/>
    </xf>
    <xf numFmtId="0" fontId="12" fillId="10" borderId="147" xfId="4" applyFont="1" applyFill="1" applyBorder="1" applyAlignment="1">
      <alignment horizontal="center" vertical="center" shrinkToFit="1"/>
    </xf>
    <xf numFmtId="0" fontId="12" fillId="3" borderId="0" xfId="4" applyFont="1" applyFill="1" applyBorder="1" applyAlignment="1">
      <alignment horizontal="right" vertical="center" shrinkToFit="1"/>
    </xf>
    <xf numFmtId="0" fontId="12" fillId="21" borderId="5" xfId="4" applyFont="1" applyFill="1" applyBorder="1" applyAlignment="1">
      <alignment horizontal="left" vertical="center" shrinkToFit="1"/>
    </xf>
    <xf numFmtId="0" fontId="36" fillId="3" borderId="7" xfId="0" applyFont="1" applyFill="1" applyBorder="1">
      <alignment vertical="center"/>
    </xf>
    <xf numFmtId="180" fontId="36" fillId="2" borderId="7" xfId="0" applyNumberFormat="1" applyFont="1" applyFill="1" applyBorder="1" applyAlignment="1">
      <alignment vertical="center" shrinkToFit="1"/>
    </xf>
    <xf numFmtId="0" fontId="12" fillId="3" borderId="146" xfId="0" applyFont="1" applyFill="1" applyBorder="1" applyAlignment="1">
      <alignment horizontal="center" vertical="center"/>
    </xf>
    <xf numFmtId="180" fontId="36" fillId="21" borderId="5" xfId="0" applyNumberFormat="1" applyFont="1" applyFill="1" applyBorder="1" applyAlignment="1">
      <alignment vertical="center" shrinkToFit="1"/>
    </xf>
    <xf numFmtId="192" fontId="12" fillId="21" borderId="1" xfId="4" applyNumberFormat="1" applyFont="1" applyFill="1" applyBorder="1" applyAlignment="1">
      <alignment vertical="center" shrinkToFit="1"/>
    </xf>
    <xf numFmtId="0" fontId="12" fillId="0" borderId="5" xfId="0" applyFont="1" applyBorder="1">
      <alignment vertical="center"/>
    </xf>
    <xf numFmtId="192" fontId="12" fillId="21" borderId="5" xfId="4" applyNumberFormat="1" applyFont="1" applyFill="1" applyBorder="1" applyAlignment="1">
      <alignment vertical="center" shrinkToFit="1"/>
    </xf>
    <xf numFmtId="0" fontId="36" fillId="2" borderId="7" xfId="4" applyFont="1" applyFill="1" applyBorder="1" applyAlignment="1" applyProtection="1">
      <alignment vertical="center" shrinkToFit="1"/>
      <protection locked="0"/>
    </xf>
    <xf numFmtId="0" fontId="36" fillId="0" borderId="146" xfId="4" applyFont="1" applyBorder="1" applyAlignment="1">
      <alignment horizontal="center" vertical="center"/>
    </xf>
    <xf numFmtId="0" fontId="12" fillId="9" borderId="5" xfId="4" applyFont="1" applyFill="1" applyBorder="1" applyAlignment="1">
      <alignment vertical="center" shrinkToFit="1"/>
    </xf>
    <xf numFmtId="192" fontId="12" fillId="3" borderId="5" xfId="4" applyNumberFormat="1" applyFont="1" applyFill="1" applyBorder="1" applyAlignment="1">
      <alignment vertical="center" shrinkToFit="1"/>
    </xf>
    <xf numFmtId="0" fontId="36" fillId="9" borderId="7" xfId="4" applyFont="1" applyFill="1" applyBorder="1" applyAlignment="1">
      <alignment vertical="center" shrinkToFit="1"/>
    </xf>
    <xf numFmtId="192" fontId="36" fillId="2" borderId="7" xfId="4" applyNumberFormat="1" applyFont="1" applyFill="1" applyBorder="1" applyAlignment="1" applyProtection="1">
      <alignment vertical="center" shrinkToFit="1"/>
      <protection locked="0"/>
    </xf>
    <xf numFmtId="192" fontId="36" fillId="3" borderId="7" xfId="4" applyNumberFormat="1" applyFont="1" applyFill="1" applyBorder="1" applyAlignment="1">
      <alignment vertical="center" shrinkToFit="1"/>
    </xf>
    <xf numFmtId="192" fontId="36" fillId="2" borderId="7" xfId="4" applyNumberFormat="1" applyFont="1" applyFill="1" applyBorder="1" applyAlignment="1">
      <alignment vertical="center" shrinkToFit="1"/>
    </xf>
    <xf numFmtId="0" fontId="36" fillId="10" borderId="147" xfId="0" applyFont="1" applyFill="1" applyBorder="1" applyAlignment="1">
      <alignment vertical="center" shrinkToFit="1"/>
    </xf>
    <xf numFmtId="0" fontId="85" fillId="3" borderId="0" xfId="0" applyFont="1" applyFill="1" applyAlignment="1">
      <alignment horizontal="right" vertical="center"/>
    </xf>
    <xf numFmtId="179" fontId="3" fillId="3" borderId="1" xfId="0" applyNumberFormat="1" applyFont="1" applyFill="1" applyBorder="1">
      <alignment vertical="center"/>
    </xf>
    <xf numFmtId="180" fontId="3" fillId="2" borderId="1" xfId="0" applyNumberFormat="1" applyFont="1" applyFill="1" applyBorder="1" applyAlignment="1">
      <alignment vertical="center" shrinkToFit="1"/>
    </xf>
    <xf numFmtId="0" fontId="86" fillId="9" borderId="0" xfId="0" applyFont="1" applyFill="1">
      <alignment vertical="center"/>
    </xf>
    <xf numFmtId="0" fontId="7" fillId="0" borderId="1" xfId="0" quotePrefix="1" applyFont="1" applyBorder="1">
      <alignment vertical="center"/>
    </xf>
    <xf numFmtId="184" fontId="7" fillId="0" borderId="1" xfId="0" applyNumberFormat="1" applyFont="1" applyBorder="1">
      <alignment vertical="center"/>
    </xf>
    <xf numFmtId="184" fontId="7" fillId="3" borderId="1" xfId="0" applyNumberFormat="1" applyFont="1" applyFill="1" applyBorder="1">
      <alignment vertical="center"/>
    </xf>
    <xf numFmtId="176" fontId="36" fillId="0" borderId="1" xfId="0" applyNumberFormat="1" applyFont="1" applyBorder="1">
      <alignment vertical="center"/>
    </xf>
    <xf numFmtId="0" fontId="58" fillId="23" borderId="3" xfId="0" applyFont="1" applyFill="1" applyBorder="1" applyAlignment="1">
      <alignment horizontal="center" vertical="center"/>
    </xf>
    <xf numFmtId="0" fontId="58" fillId="23" borderId="1" xfId="0" applyFont="1" applyFill="1" applyBorder="1" applyAlignment="1">
      <alignment horizontal="center" vertical="center"/>
    </xf>
    <xf numFmtId="0" fontId="70" fillId="3" borderId="0" xfId="0" applyFont="1" applyFill="1">
      <alignment vertical="center"/>
    </xf>
    <xf numFmtId="0" fontId="58" fillId="3" borderId="0" xfId="0" applyFont="1" applyFill="1" applyAlignment="1">
      <alignment horizontal="center" vertical="center"/>
    </xf>
    <xf numFmtId="193" fontId="67" fillId="3" borderId="1" xfId="0" applyNumberFormat="1" applyFont="1" applyFill="1" applyBorder="1" applyAlignment="1">
      <alignment vertical="center" shrinkToFit="1"/>
    </xf>
    <xf numFmtId="183" fontId="90" fillId="3" borderId="3" xfId="0" applyNumberFormat="1" applyFont="1" applyFill="1" applyBorder="1" applyAlignment="1">
      <alignment horizontal="center" vertical="center"/>
    </xf>
    <xf numFmtId="183" fontId="87" fillId="3" borderId="3" xfId="0" applyNumberFormat="1" applyFont="1" applyFill="1" applyBorder="1" applyAlignment="1">
      <alignment horizontal="center" vertical="center"/>
    </xf>
    <xf numFmtId="199" fontId="67" fillId="3" borderId="2" xfId="0" applyNumberFormat="1" applyFont="1" applyFill="1" applyBorder="1" applyAlignment="1">
      <alignment horizontal="center" vertical="center"/>
    </xf>
    <xf numFmtId="199" fontId="67" fillId="2" borderId="76" xfId="0" applyNumberFormat="1" applyFont="1" applyFill="1" applyBorder="1" applyAlignment="1">
      <alignment horizontal="center" vertical="center"/>
    </xf>
    <xf numFmtId="200" fontId="67" fillId="2" borderId="75" xfId="0" applyNumberFormat="1" applyFont="1" applyFill="1" applyBorder="1" applyAlignment="1">
      <alignment horizontal="center" vertical="center"/>
    </xf>
    <xf numFmtId="0" fontId="92" fillId="3" borderId="2" xfId="0" applyFont="1" applyFill="1" applyBorder="1">
      <alignment vertical="center"/>
    </xf>
    <xf numFmtId="0" fontId="22" fillId="5" borderId="3" xfId="0" applyFont="1" applyFill="1" applyBorder="1">
      <alignment vertical="center"/>
    </xf>
    <xf numFmtId="0" fontId="92" fillId="5" borderId="3" xfId="0" applyFont="1" applyFill="1" applyBorder="1">
      <alignment vertical="center"/>
    </xf>
    <xf numFmtId="0" fontId="92" fillId="5" borderId="4" xfId="0" applyFont="1" applyFill="1" applyBorder="1">
      <alignment vertical="center"/>
    </xf>
    <xf numFmtId="0" fontId="22" fillId="5" borderId="4" xfId="0" applyFont="1" applyFill="1" applyBorder="1">
      <alignment vertical="center"/>
    </xf>
    <xf numFmtId="193" fontId="67" fillId="2" borderId="7" xfId="0" applyNumberFormat="1" applyFont="1" applyFill="1" applyBorder="1" applyAlignment="1">
      <alignment vertical="center" shrinkToFit="1"/>
    </xf>
    <xf numFmtId="193" fontId="67" fillId="2" borderId="1" xfId="0" applyNumberFormat="1" applyFont="1" applyFill="1" applyBorder="1" applyAlignment="1">
      <alignment vertical="center" shrinkToFit="1"/>
    </xf>
    <xf numFmtId="0" fontId="94" fillId="3" borderId="0" xfId="0" applyFont="1" applyFill="1" applyAlignment="1">
      <alignment vertical="top"/>
    </xf>
    <xf numFmtId="0" fontId="87" fillId="23" borderId="3" xfId="0" applyFont="1" applyFill="1" applyBorder="1" applyAlignment="1">
      <alignment horizontal="centerContinuous" vertical="center"/>
    </xf>
    <xf numFmtId="0" fontId="87" fillId="23" borderId="2" xfId="0" applyFont="1" applyFill="1" applyBorder="1" applyAlignment="1">
      <alignment horizontal="centerContinuous" vertical="center"/>
    </xf>
    <xf numFmtId="0" fontId="87" fillId="23" borderId="1" xfId="0" applyFont="1" applyFill="1" applyBorder="1" applyAlignment="1">
      <alignment horizontal="center" vertical="center"/>
    </xf>
    <xf numFmtId="0" fontId="67" fillId="23" borderId="1" xfId="0" applyFont="1" applyFill="1" applyBorder="1" applyAlignment="1">
      <alignment horizontal="centerContinuous" vertical="center"/>
    </xf>
    <xf numFmtId="0" fontId="58" fillId="23" borderId="3" xfId="0" applyFont="1" applyFill="1" applyBorder="1" applyAlignment="1">
      <alignment horizontal="centerContinuous" vertical="center"/>
    </xf>
    <xf numFmtId="0" fontId="58" fillId="23" borderId="3" xfId="0" applyFont="1" applyFill="1" applyBorder="1">
      <alignment vertical="center"/>
    </xf>
    <xf numFmtId="0" fontId="58" fillId="23" borderId="5" xfId="0" applyFont="1" applyFill="1" applyBorder="1">
      <alignment vertical="center"/>
    </xf>
    <xf numFmtId="0" fontId="58" fillId="23" borderId="6" xfId="0" applyFont="1" applyFill="1" applyBorder="1">
      <alignment vertical="center"/>
    </xf>
    <xf numFmtId="0" fontId="58" fillId="23" borderId="7" xfId="0" applyFont="1" applyFill="1" applyBorder="1">
      <alignment vertical="center"/>
    </xf>
    <xf numFmtId="0" fontId="58" fillId="23" borderId="4" xfId="0" applyFont="1" applyFill="1" applyBorder="1">
      <alignment vertical="center"/>
    </xf>
    <xf numFmtId="0" fontId="88" fillId="23" borderId="4" xfId="0" applyFont="1" applyFill="1" applyBorder="1" applyAlignment="1">
      <alignment horizontal="center" vertical="center"/>
    </xf>
    <xf numFmtId="0" fontId="91" fillId="23" borderId="4" xfId="0" applyFont="1" applyFill="1" applyBorder="1" applyAlignment="1">
      <alignment horizontal="right" vertical="center"/>
    </xf>
    <xf numFmtId="0" fontId="91" fillId="23" borderId="4" xfId="0" applyFont="1" applyFill="1" applyBorder="1" applyAlignment="1">
      <alignment horizontal="left" vertical="center"/>
    </xf>
    <xf numFmtId="0" fontId="91" fillId="3" borderId="0" xfId="0" applyFont="1" applyFill="1" applyAlignment="1">
      <alignment horizontal="right" vertical="center"/>
    </xf>
    <xf numFmtId="0" fontId="58" fillId="23" borderId="2" xfId="0" applyFont="1" applyFill="1" applyBorder="1" applyAlignment="1">
      <alignment horizontal="right" vertical="center"/>
    </xf>
    <xf numFmtId="0" fontId="87" fillId="23" borderId="3" xfId="0" applyFont="1" applyFill="1" applyBorder="1">
      <alignment vertical="center"/>
    </xf>
    <xf numFmtId="0" fontId="87" fillId="23" borderId="2" xfId="0" applyFont="1" applyFill="1" applyBorder="1">
      <alignment vertical="center"/>
    </xf>
    <xf numFmtId="0" fontId="87" fillId="23" borderId="1" xfId="0" applyFont="1" applyFill="1" applyBorder="1">
      <alignment vertical="center"/>
    </xf>
    <xf numFmtId="0" fontId="67" fillId="23" borderId="3" xfId="0" applyFont="1" applyFill="1" applyBorder="1" applyAlignment="1">
      <alignment horizontal="centerContinuous" vertical="center"/>
    </xf>
    <xf numFmtId="0" fontId="67" fillId="23" borderId="2" xfId="0" applyFont="1" applyFill="1" applyBorder="1" applyAlignment="1">
      <alignment horizontal="centerContinuous" vertical="center"/>
    </xf>
    <xf numFmtId="0" fontId="67" fillId="23" borderId="8" xfId="0" applyFont="1" applyFill="1" applyBorder="1" applyAlignment="1"/>
    <xf numFmtId="0" fontId="67" fillId="23" borderId="11" xfId="0" applyFont="1" applyFill="1" applyBorder="1">
      <alignment vertical="center"/>
    </xf>
    <xf numFmtId="0" fontId="67" fillId="23" borderId="9" xfId="0" applyFont="1" applyFill="1" applyBorder="1" applyAlignment="1">
      <alignment vertical="top"/>
    </xf>
    <xf numFmtId="0" fontId="67" fillId="23" borderId="10" xfId="0" applyFont="1" applyFill="1" applyBorder="1">
      <alignment vertical="center"/>
    </xf>
    <xf numFmtId="0" fontId="67" fillId="23" borderId="2" xfId="0" applyFont="1" applyFill="1" applyBorder="1" applyAlignment="1">
      <alignment vertical="center" shrinkToFit="1"/>
    </xf>
    <xf numFmtId="0" fontId="87" fillId="23" borderId="3" xfId="0" applyFont="1" applyFill="1" applyBorder="1" applyAlignment="1">
      <alignment horizontal="right" vertical="center"/>
    </xf>
    <xf numFmtId="200" fontId="67" fillId="3" borderId="154" xfId="0" applyNumberFormat="1" applyFont="1" applyFill="1" applyBorder="1" applyAlignment="1">
      <alignment horizontal="center" vertical="center" shrinkToFit="1"/>
    </xf>
    <xf numFmtId="199" fontId="67" fillId="3" borderId="155" xfId="0" applyNumberFormat="1" applyFont="1" applyFill="1" applyBorder="1" applyAlignment="1">
      <alignment horizontal="center" vertical="center" shrinkToFit="1"/>
    </xf>
    <xf numFmtId="0" fontId="69" fillId="11" borderId="1" xfId="0" applyFont="1" applyFill="1" applyBorder="1" applyAlignment="1">
      <alignment horizontal="center" vertical="center" wrapText="1"/>
    </xf>
    <xf numFmtId="0" fontId="69" fillId="23" borderId="1" xfId="0" applyFont="1" applyFill="1" applyBorder="1" applyAlignment="1">
      <alignment horizontal="center" vertical="center" wrapText="1"/>
    </xf>
    <xf numFmtId="0" fontId="58" fillId="23" borderId="1" xfId="0" applyFont="1" applyFill="1" applyBorder="1" applyAlignment="1">
      <alignment horizontal="left" vertical="top" wrapText="1"/>
    </xf>
    <xf numFmtId="179" fontId="71" fillId="23" borderId="1" xfId="0" applyNumberFormat="1" applyFont="1" applyFill="1" applyBorder="1">
      <alignment vertical="center"/>
    </xf>
    <xf numFmtId="179" fontId="71" fillId="23" borderId="1" xfId="0" applyNumberFormat="1" applyFont="1" applyFill="1" applyBorder="1" applyAlignment="1">
      <alignment horizontal="right" vertical="center" wrapText="1"/>
    </xf>
    <xf numFmtId="178" fontId="71" fillId="23" borderId="1" xfId="0" applyNumberFormat="1" applyFont="1" applyFill="1" applyBorder="1" applyAlignment="1">
      <alignment horizontal="right" vertical="center"/>
    </xf>
    <xf numFmtId="179" fontId="70" fillId="23" borderId="1" xfId="0" applyNumberFormat="1" applyFont="1" applyFill="1" applyBorder="1">
      <alignment vertical="center"/>
    </xf>
    <xf numFmtId="179" fontId="70" fillId="23" borderId="1" xfId="0" applyNumberFormat="1" applyFont="1" applyFill="1" applyBorder="1" applyAlignment="1">
      <alignment horizontal="right" vertical="center" wrapText="1"/>
    </xf>
    <xf numFmtId="178" fontId="70" fillId="23" borderId="1" xfId="0" applyNumberFormat="1" applyFont="1" applyFill="1" applyBorder="1" applyAlignment="1">
      <alignment horizontal="right" vertical="center"/>
    </xf>
    <xf numFmtId="0" fontId="0" fillId="0" borderId="0" xfId="0" applyBorder="1">
      <alignment vertical="center"/>
    </xf>
    <xf numFmtId="0" fontId="0" fillId="0" borderId="0" xfId="0" applyBorder="1" applyAlignment="1">
      <alignment horizontal="center" vertical="center"/>
    </xf>
    <xf numFmtId="0" fontId="95" fillId="3" borderId="0" xfId="0" applyFont="1" applyFill="1" applyAlignment="1">
      <alignment vertical="center"/>
    </xf>
    <xf numFmtId="0" fontId="95" fillId="3" borderId="0" xfId="0" applyFont="1" applyFill="1">
      <alignment vertical="center"/>
    </xf>
    <xf numFmtId="0" fontId="3" fillId="5" borderId="1" xfId="0" applyFont="1" applyFill="1" applyBorder="1" applyAlignment="1">
      <alignment horizontal="center" vertical="center"/>
    </xf>
    <xf numFmtId="0" fontId="3" fillId="5" borderId="1" xfId="0" applyFont="1" applyFill="1" applyBorder="1">
      <alignment vertical="center"/>
    </xf>
    <xf numFmtId="0" fontId="7" fillId="3" borderId="151" xfId="0" applyFont="1" applyFill="1" applyBorder="1">
      <alignment vertical="center"/>
    </xf>
    <xf numFmtId="0" fontId="7" fillId="3" borderId="152" xfId="0" applyFont="1" applyFill="1" applyBorder="1">
      <alignment vertical="center"/>
    </xf>
    <xf numFmtId="0" fontId="85" fillId="3" borderId="0" xfId="0" applyFont="1" applyFill="1">
      <alignment vertical="center"/>
    </xf>
    <xf numFmtId="199" fontId="3" fillId="5" borderId="1" xfId="0" applyNumberFormat="1" applyFont="1" applyFill="1" applyBorder="1" applyAlignment="1">
      <alignment horizontal="center" vertical="center"/>
    </xf>
    <xf numFmtId="176" fontId="3" fillId="3" borderId="1" xfId="0" applyNumberFormat="1" applyFont="1" applyFill="1" applyBorder="1">
      <alignment vertical="center"/>
    </xf>
    <xf numFmtId="0" fontId="12" fillId="8" borderId="1" xfId="0" applyFont="1" applyFill="1" applyBorder="1" applyAlignment="1">
      <alignment horizontal="center" vertical="center"/>
    </xf>
    <xf numFmtId="0" fontId="12" fillId="8" borderId="5" xfId="0" applyFont="1" applyFill="1" applyBorder="1" applyAlignment="1">
      <alignment horizontal="center" vertical="center"/>
    </xf>
    <xf numFmtId="0" fontId="7" fillId="3" borderId="7" xfId="0" applyFont="1" applyFill="1" applyBorder="1">
      <alignment vertical="center"/>
    </xf>
    <xf numFmtId="0" fontId="7" fillId="3" borderId="1" xfId="0" applyFont="1" applyFill="1" applyBorder="1">
      <alignment vertical="center"/>
    </xf>
    <xf numFmtId="0" fontId="36" fillId="0" borderId="7" xfId="0" applyFont="1" applyBorder="1">
      <alignment vertical="center"/>
    </xf>
    <xf numFmtId="0" fontId="36" fillId="9" borderId="7" xfId="4" applyFont="1" applyFill="1" applyBorder="1" applyAlignment="1" applyProtection="1">
      <alignment vertical="center" shrinkToFit="1"/>
      <protection locked="0"/>
    </xf>
    <xf numFmtId="0" fontId="36" fillId="0" borderId="7" xfId="4" applyFont="1" applyBorder="1" applyAlignment="1">
      <alignment vertical="center" shrinkToFit="1"/>
    </xf>
    <xf numFmtId="9" fontId="36" fillId="3" borderId="7" xfId="4" applyNumberFormat="1" applyFont="1" applyFill="1" applyBorder="1" applyAlignment="1" applyProtection="1">
      <alignment vertical="center" shrinkToFit="1"/>
      <protection locked="0"/>
    </xf>
    <xf numFmtId="9" fontId="36" fillId="2" borderId="7" xfId="4" applyNumberFormat="1" applyFont="1" applyFill="1" applyBorder="1" applyAlignment="1" applyProtection="1">
      <alignment vertical="center" shrinkToFit="1"/>
      <protection locked="0"/>
    </xf>
    <xf numFmtId="38" fontId="36" fillId="0" borderId="7" xfId="6" applyFont="1" applyBorder="1" applyAlignment="1" applyProtection="1">
      <alignment vertical="center" shrinkToFit="1"/>
    </xf>
    <xf numFmtId="0" fontId="36" fillId="2" borderId="1" xfId="4" applyFont="1" applyFill="1" applyBorder="1" applyAlignment="1" applyProtection="1">
      <alignment vertical="center" shrinkToFit="1"/>
      <protection locked="0"/>
    </xf>
    <xf numFmtId="0" fontId="36" fillId="9" borderId="1" xfId="4" applyFont="1" applyFill="1" applyBorder="1" applyAlignment="1" applyProtection="1">
      <alignment vertical="center" shrinkToFit="1"/>
      <protection locked="0"/>
    </xf>
    <xf numFmtId="0" fontId="36" fillId="0" borderId="1" xfId="4" applyFont="1" applyBorder="1" applyAlignment="1">
      <alignment vertical="center" shrinkToFit="1"/>
    </xf>
    <xf numFmtId="9" fontId="36" fillId="3" borderId="1" xfId="4" applyNumberFormat="1" applyFont="1" applyFill="1" applyBorder="1" applyAlignment="1" applyProtection="1">
      <alignment vertical="center" shrinkToFit="1"/>
      <protection locked="0"/>
    </xf>
    <xf numFmtId="9" fontId="36" fillId="2" borderId="1" xfId="4" applyNumberFormat="1" applyFont="1" applyFill="1" applyBorder="1" applyAlignment="1" applyProtection="1">
      <alignment vertical="center" shrinkToFit="1"/>
      <protection locked="0"/>
    </xf>
    <xf numFmtId="38" fontId="36" fillId="0" borderId="1" xfId="6" applyFont="1" applyBorder="1" applyAlignment="1" applyProtection="1">
      <alignment vertical="center" shrinkToFit="1"/>
    </xf>
    <xf numFmtId="0" fontId="36" fillId="2" borderId="1" xfId="0" applyFont="1" applyFill="1" applyBorder="1" applyAlignment="1">
      <alignment vertical="center" shrinkToFit="1"/>
    </xf>
    <xf numFmtId="0" fontId="3" fillId="10" borderId="139" xfId="0" applyFont="1" applyFill="1" applyBorder="1" applyAlignment="1">
      <alignment horizontal="center" vertical="center" shrinkToFit="1"/>
    </xf>
    <xf numFmtId="184" fontId="3" fillId="10" borderId="139" xfId="0" applyNumberFormat="1" applyFont="1" applyFill="1" applyBorder="1" applyAlignment="1">
      <alignment horizontal="center" vertical="center" shrinkToFit="1"/>
    </xf>
    <xf numFmtId="0" fontId="3" fillId="10" borderId="1" xfId="0" applyFont="1" applyFill="1" applyBorder="1" applyAlignment="1">
      <alignment horizontal="center" vertical="center" shrinkToFit="1"/>
    </xf>
    <xf numFmtId="184" fontId="3" fillId="10" borderId="1" xfId="0" applyNumberFormat="1" applyFont="1" applyFill="1" applyBorder="1" applyAlignment="1">
      <alignment horizontal="center" vertical="center" shrinkToFit="1"/>
    </xf>
    <xf numFmtId="0" fontId="3" fillId="10" borderId="144" xfId="0" applyFont="1" applyFill="1" applyBorder="1" applyAlignment="1">
      <alignment horizontal="center" vertical="center" shrinkToFit="1"/>
    </xf>
    <xf numFmtId="0" fontId="7" fillId="2" borderId="7" xfId="0" quotePrefix="1"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9"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9" borderId="1" xfId="0" applyFont="1" applyFill="1" applyBorder="1" applyAlignment="1">
      <alignment horizontal="center" vertical="center" shrinkToFit="1"/>
    </xf>
    <xf numFmtId="184" fontId="7" fillId="2" borderId="1" xfId="0" applyNumberFormat="1" applyFont="1" applyFill="1" applyBorder="1" applyAlignment="1">
      <alignment horizontal="center" vertical="center" shrinkToFit="1"/>
    </xf>
    <xf numFmtId="187" fontId="3" fillId="10" borderId="139" xfId="0" applyNumberFormat="1" applyFont="1" applyFill="1" applyBorder="1" applyAlignment="1">
      <alignment vertical="center" shrinkToFit="1"/>
    </xf>
    <xf numFmtId="187" fontId="3" fillId="0" borderId="139" xfId="0" applyNumberFormat="1" applyFont="1" applyBorder="1" applyAlignment="1">
      <alignment vertical="center" shrinkToFit="1"/>
    </xf>
    <xf numFmtId="187" fontId="3" fillId="10" borderId="1" xfId="0" applyNumberFormat="1" applyFont="1" applyFill="1" applyBorder="1" applyAlignment="1">
      <alignment vertical="center" shrinkToFit="1"/>
    </xf>
    <xf numFmtId="187" fontId="3" fillId="0" borderId="1" xfId="0" applyNumberFormat="1" applyFont="1" applyBorder="1" applyAlignment="1">
      <alignment vertical="center" shrinkToFit="1"/>
    </xf>
    <xf numFmtId="187" fontId="3" fillId="10" borderId="144" xfId="0" applyNumberFormat="1" applyFont="1" applyFill="1" applyBorder="1" applyAlignment="1">
      <alignment vertical="center" shrinkToFit="1"/>
    </xf>
    <xf numFmtId="187" fontId="3" fillId="0" borderId="144" xfId="0" applyNumberFormat="1" applyFont="1" applyBorder="1" applyAlignment="1">
      <alignment vertical="center" shrinkToFit="1"/>
    </xf>
    <xf numFmtId="187" fontId="7" fillId="2" borderId="7" xfId="0" applyNumberFormat="1" applyFont="1" applyFill="1" applyBorder="1" applyAlignment="1">
      <alignment vertical="center" shrinkToFit="1"/>
    </xf>
    <xf numFmtId="187" fontId="7" fillId="3" borderId="7" xfId="0" applyNumberFormat="1" applyFont="1" applyFill="1" applyBorder="1" applyAlignment="1">
      <alignment vertical="center" shrinkToFit="1"/>
    </xf>
    <xf numFmtId="187" fontId="7" fillId="0" borderId="7" xfId="0" applyNumberFormat="1" applyFont="1" applyBorder="1" applyAlignment="1">
      <alignment vertical="center" shrinkToFit="1"/>
    </xf>
    <xf numFmtId="187" fontId="7" fillId="2" borderId="1" xfId="0" applyNumberFormat="1" applyFont="1" applyFill="1" applyBorder="1" applyAlignment="1">
      <alignment vertical="center" shrinkToFit="1"/>
    </xf>
    <xf numFmtId="187" fontId="7" fillId="3" borderId="1" xfId="0" applyNumberFormat="1" applyFont="1" applyFill="1" applyBorder="1" applyAlignment="1">
      <alignment vertical="center" shrinkToFit="1"/>
    </xf>
    <xf numFmtId="187" fontId="7" fillId="0" borderId="1" xfId="0" applyNumberFormat="1" applyFont="1" applyBorder="1" applyAlignment="1">
      <alignment vertical="center" shrinkToFit="1"/>
    </xf>
    <xf numFmtId="187" fontId="3" fillId="0" borderId="140" xfId="0" applyNumberFormat="1" applyFont="1" applyBorder="1" applyAlignment="1">
      <alignment vertical="center" shrinkToFit="1"/>
    </xf>
    <xf numFmtId="187" fontId="3" fillId="0" borderId="142" xfId="0" applyNumberFormat="1" applyFont="1" applyBorder="1" applyAlignment="1">
      <alignment vertical="center" shrinkToFit="1"/>
    </xf>
    <xf numFmtId="187" fontId="3" fillId="0" borderId="145" xfId="0" applyNumberFormat="1" applyFont="1" applyBorder="1" applyAlignment="1">
      <alignment vertical="center" shrinkToFit="1"/>
    </xf>
    <xf numFmtId="189" fontId="3" fillId="0" borderId="1" xfId="0" applyNumberFormat="1" applyFont="1" applyBorder="1">
      <alignment vertical="center"/>
    </xf>
    <xf numFmtId="189" fontId="3" fillId="10" borderId="1" xfId="0" applyNumberFormat="1" applyFont="1" applyFill="1" applyBorder="1">
      <alignment vertical="center"/>
    </xf>
    <xf numFmtId="204" fontId="3" fillId="3" borderId="1" xfId="0" applyNumberFormat="1" applyFont="1" applyFill="1" applyBorder="1" applyAlignment="1">
      <alignment vertical="center" shrinkToFit="1"/>
    </xf>
    <xf numFmtId="0" fontId="12" fillId="10" borderId="147"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1" xfId="0" applyFont="1" applyFill="1" applyBorder="1" applyAlignment="1">
      <alignment horizontal="center" vertical="center"/>
    </xf>
    <xf numFmtId="0" fontId="7" fillId="21" borderId="5" xfId="0" applyFont="1" applyFill="1" applyBorder="1" applyAlignment="1">
      <alignment horizontal="center" vertical="center" shrinkToFit="1"/>
    </xf>
    <xf numFmtId="187" fontId="7" fillId="21" borderId="5" xfId="0" applyNumberFormat="1" applyFont="1" applyFill="1" applyBorder="1" applyAlignment="1">
      <alignment vertical="center" shrinkToFit="1"/>
    </xf>
    <xf numFmtId="189" fontId="7" fillId="21" borderId="5" xfId="0" applyNumberFormat="1" applyFont="1" applyFill="1" applyBorder="1" applyAlignment="1">
      <alignment vertical="center" shrinkToFit="1"/>
    </xf>
    <xf numFmtId="0" fontId="7" fillId="21" borderId="5" xfId="0" applyFont="1" applyFill="1" applyBorder="1" applyAlignment="1">
      <alignment vertical="center" shrinkToFit="1"/>
    </xf>
    <xf numFmtId="189" fontId="7" fillId="3" borderId="5" xfId="0" applyNumberFormat="1" applyFont="1" applyFill="1" applyBorder="1" applyAlignment="1">
      <alignment vertical="center" shrinkToFit="1"/>
    </xf>
    <xf numFmtId="187" fontId="7" fillId="0" borderId="5" xfId="0" applyNumberFormat="1" applyFont="1" applyBorder="1" applyAlignment="1">
      <alignment vertical="center" shrinkToFit="1"/>
    </xf>
    <xf numFmtId="187" fontId="7" fillId="3" borderId="5" xfId="0" applyNumberFormat="1" applyFont="1" applyFill="1" applyBorder="1" applyAlignment="1">
      <alignment vertical="center" shrinkToFit="1"/>
    </xf>
    <xf numFmtId="0" fontId="3" fillId="10" borderId="147" xfId="0" applyFont="1" applyFill="1" applyBorder="1" applyAlignment="1">
      <alignment horizontal="center" vertical="center" shrinkToFit="1"/>
    </xf>
    <xf numFmtId="187" fontId="3" fillId="10" borderId="147" xfId="0" applyNumberFormat="1" applyFont="1" applyFill="1" applyBorder="1" applyAlignment="1">
      <alignment vertical="center" shrinkToFit="1"/>
    </xf>
    <xf numFmtId="189" fontId="3" fillId="0" borderId="147" xfId="0" applyNumberFormat="1" applyFont="1" applyBorder="1" applyAlignment="1">
      <alignment vertical="center" shrinkToFit="1"/>
    </xf>
    <xf numFmtId="189" fontId="3" fillId="10" borderId="147" xfId="0" applyNumberFormat="1" applyFont="1" applyFill="1" applyBorder="1" applyAlignment="1">
      <alignment vertical="center" shrinkToFit="1"/>
    </xf>
    <xf numFmtId="0" fontId="3" fillId="10" borderId="147" xfId="0" applyFont="1" applyFill="1" applyBorder="1" applyAlignment="1">
      <alignment vertical="center" shrinkToFit="1"/>
    </xf>
    <xf numFmtId="187" fontId="3" fillId="0" borderId="147" xfId="0" applyNumberFormat="1" applyFont="1" applyBorder="1" applyAlignment="1">
      <alignment vertical="center" shrinkToFit="1"/>
    </xf>
    <xf numFmtId="187" fontId="3" fillId="0" borderId="148" xfId="0" applyNumberFormat="1" applyFont="1" applyBorder="1" applyAlignment="1">
      <alignment vertical="center" shrinkToFit="1"/>
    </xf>
    <xf numFmtId="189" fontId="7" fillId="2" borderId="7" xfId="0" applyNumberFormat="1" applyFont="1" applyFill="1" applyBorder="1" applyAlignment="1">
      <alignment vertical="center" shrinkToFit="1"/>
    </xf>
    <xf numFmtId="0" fontId="7" fillId="0" borderId="7" xfId="0" applyFont="1" applyBorder="1" applyAlignment="1">
      <alignment vertical="center" shrinkToFit="1"/>
    </xf>
    <xf numFmtId="189" fontId="7" fillId="3" borderId="7" xfId="0" applyNumberFormat="1" applyFont="1" applyFill="1" applyBorder="1" applyAlignment="1">
      <alignment vertical="center" shrinkToFit="1"/>
    </xf>
    <xf numFmtId="189" fontId="7" fillId="0" borderId="7" xfId="0" applyNumberFormat="1" applyFont="1" applyBorder="1" applyAlignment="1">
      <alignment vertical="center" shrinkToFit="1"/>
    </xf>
    <xf numFmtId="189" fontId="7" fillId="2" borderId="1" xfId="0" applyNumberFormat="1" applyFont="1" applyFill="1" applyBorder="1" applyAlignment="1">
      <alignment vertical="center" shrinkToFit="1"/>
    </xf>
    <xf numFmtId="0" fontId="7" fillId="0" borderId="1" xfId="0" applyFont="1" applyBorder="1" applyAlignment="1">
      <alignment vertical="center" shrinkToFit="1"/>
    </xf>
    <xf numFmtId="189" fontId="7" fillId="3" borderId="1" xfId="0" applyNumberFormat="1" applyFont="1" applyFill="1" applyBorder="1" applyAlignment="1">
      <alignment vertical="center" shrinkToFit="1"/>
    </xf>
    <xf numFmtId="189" fontId="7" fillId="0" borderId="1" xfId="0" applyNumberFormat="1" applyFont="1" applyBorder="1" applyAlignment="1">
      <alignment vertical="center" shrinkToFit="1"/>
    </xf>
    <xf numFmtId="187" fontId="36" fillId="3" borderId="5" xfId="0" applyNumberFormat="1" applyFont="1" applyFill="1" applyBorder="1">
      <alignment vertical="center"/>
    </xf>
    <xf numFmtId="0" fontId="36" fillId="21" borderId="5" xfId="0" applyFont="1" applyFill="1" applyBorder="1" applyAlignment="1">
      <alignment horizontal="center" vertical="center" shrinkToFit="1"/>
    </xf>
    <xf numFmtId="0" fontId="36" fillId="21" borderId="5" xfId="0" applyFont="1" applyFill="1" applyBorder="1" applyAlignment="1">
      <alignment vertical="center" shrinkToFit="1"/>
    </xf>
    <xf numFmtId="9" fontId="36" fillId="3" borderId="5" xfId="0" applyNumberFormat="1" applyFont="1" applyFill="1" applyBorder="1" applyAlignment="1">
      <alignment vertical="center" shrinkToFit="1"/>
    </xf>
    <xf numFmtId="180" fontId="36" fillId="3" borderId="5" xfId="0" applyNumberFormat="1" applyFont="1" applyFill="1" applyBorder="1" applyAlignment="1">
      <alignment vertical="center" shrinkToFit="1"/>
    </xf>
    <xf numFmtId="187" fontId="36" fillId="3" borderId="5" xfId="0" applyNumberFormat="1" applyFont="1" applyFill="1" applyBorder="1" applyAlignment="1">
      <alignment vertical="center" shrinkToFit="1"/>
    </xf>
    <xf numFmtId="0" fontId="12" fillId="10" borderId="147" xfId="0" applyFont="1" applyFill="1" applyBorder="1" applyAlignment="1">
      <alignment horizontal="center" vertical="center" shrinkToFit="1"/>
    </xf>
    <xf numFmtId="0" fontId="12" fillId="10" borderId="147" xfId="0" applyFont="1" applyFill="1" applyBorder="1" applyAlignment="1">
      <alignment vertical="center" shrinkToFit="1"/>
    </xf>
    <xf numFmtId="0" fontId="12" fillId="0" borderId="147" xfId="0" applyFont="1" applyBorder="1" applyAlignment="1">
      <alignment vertical="center" shrinkToFit="1"/>
    </xf>
    <xf numFmtId="180" fontId="12" fillId="0" borderId="147" xfId="0" applyNumberFormat="1" applyFont="1" applyBorder="1" applyAlignment="1">
      <alignment vertical="center" shrinkToFit="1"/>
    </xf>
    <xf numFmtId="187" fontId="12" fillId="0" borderId="147" xfId="0" applyNumberFormat="1" applyFont="1" applyBorder="1" applyAlignment="1">
      <alignment vertical="center" shrinkToFit="1"/>
    </xf>
    <xf numFmtId="187" fontId="12" fillId="0" borderId="148" xfId="0" applyNumberFormat="1" applyFont="1" applyBorder="1" applyAlignment="1">
      <alignment vertical="center" shrinkToFit="1"/>
    </xf>
    <xf numFmtId="0" fontId="36" fillId="2" borderId="7" xfId="0" applyFont="1" applyFill="1" applyBorder="1" applyAlignment="1">
      <alignment horizontal="center" vertical="center" shrinkToFit="1"/>
    </xf>
    <xf numFmtId="0" fontId="36" fillId="2" borderId="7" xfId="0" applyFont="1" applyFill="1" applyBorder="1" applyAlignment="1">
      <alignment vertical="center" shrinkToFit="1"/>
    </xf>
    <xf numFmtId="9" fontId="36" fillId="0" borderId="7" xfId="0" applyNumberFormat="1" applyFont="1" applyBorder="1" applyAlignment="1">
      <alignment vertical="center" shrinkToFit="1"/>
    </xf>
    <xf numFmtId="182" fontId="36" fillId="2" borderId="7" xfId="0" applyNumberFormat="1" applyFont="1" applyFill="1" applyBorder="1" applyAlignment="1">
      <alignment vertical="center" shrinkToFit="1"/>
    </xf>
    <xf numFmtId="180" fontId="36" fillId="0" borderId="7" xfId="0" applyNumberFormat="1" applyFont="1" applyBorder="1" applyAlignment="1">
      <alignment vertical="center" shrinkToFit="1"/>
    </xf>
    <xf numFmtId="187" fontId="36" fillId="0" borderId="7" xfId="0" applyNumberFormat="1" applyFont="1" applyBorder="1" applyAlignment="1">
      <alignment vertical="center" shrinkToFit="1"/>
    </xf>
    <xf numFmtId="0" fontId="36" fillId="2" borderId="1" xfId="0" applyFont="1" applyFill="1" applyBorder="1" applyAlignment="1">
      <alignment horizontal="center" vertical="center" shrinkToFit="1"/>
    </xf>
    <xf numFmtId="9" fontId="36" fillId="0" borderId="1" xfId="0" applyNumberFormat="1" applyFont="1" applyBorder="1" applyAlignment="1">
      <alignment vertical="center" shrinkToFit="1"/>
    </xf>
    <xf numFmtId="182" fontId="36" fillId="2" borderId="1" xfId="0" applyNumberFormat="1" applyFont="1" applyFill="1" applyBorder="1" applyAlignment="1">
      <alignment vertical="center" shrinkToFit="1"/>
    </xf>
    <xf numFmtId="180" fontId="36" fillId="0" borderId="1" xfId="0" applyNumberFormat="1" applyFont="1" applyBorder="1" applyAlignment="1">
      <alignment vertical="center" shrinkToFit="1"/>
    </xf>
    <xf numFmtId="187" fontId="36" fillId="0" borderId="1" xfId="0" applyNumberFormat="1" applyFont="1" applyBorder="1" applyAlignment="1">
      <alignment vertical="center" shrinkToFit="1"/>
    </xf>
    <xf numFmtId="189" fontId="12" fillId="0" borderId="1" xfId="0" applyNumberFormat="1" applyFont="1" applyBorder="1" applyAlignment="1">
      <alignment vertical="center" shrinkToFit="1"/>
    </xf>
    <xf numFmtId="178" fontId="36" fillId="0" borderId="1" xfId="0" applyNumberFormat="1" applyFont="1" applyBorder="1" applyAlignment="1">
      <alignment vertical="center" shrinkToFit="1"/>
    </xf>
    <xf numFmtId="197" fontId="12" fillId="0" borderId="1" xfId="0" applyNumberFormat="1" applyFont="1" applyBorder="1" applyAlignment="1">
      <alignment vertical="center" shrinkToFit="1"/>
    </xf>
    <xf numFmtId="183" fontId="12" fillId="3" borderId="1" xfId="0" applyNumberFormat="1" applyFont="1" applyFill="1" applyBorder="1" applyAlignment="1">
      <alignment vertical="center" shrinkToFit="1"/>
    </xf>
    <xf numFmtId="180" fontId="12" fillId="3" borderId="1" xfId="0" applyNumberFormat="1" applyFont="1" applyFill="1" applyBorder="1" applyAlignment="1">
      <alignment vertical="center" shrinkToFit="1"/>
    </xf>
    <xf numFmtId="187" fontId="36" fillId="21" borderId="5" xfId="0" applyNumberFormat="1" applyFont="1" applyFill="1" applyBorder="1" applyAlignment="1">
      <alignment vertical="center" shrinkToFit="1"/>
    </xf>
    <xf numFmtId="187" fontId="12" fillId="10" borderId="147" xfId="0" applyNumberFormat="1" applyFont="1" applyFill="1" applyBorder="1" applyAlignment="1">
      <alignment vertical="center" shrinkToFit="1"/>
    </xf>
    <xf numFmtId="187" fontId="36" fillId="2" borderId="7" xfId="0" applyNumberFormat="1" applyFont="1" applyFill="1" applyBorder="1" applyAlignment="1">
      <alignment vertical="center" shrinkToFit="1"/>
    </xf>
    <xf numFmtId="187" fontId="36" fillId="2" borderId="1" xfId="0" applyNumberFormat="1" applyFont="1" applyFill="1" applyBorder="1" applyAlignment="1">
      <alignment vertical="center" shrinkToFit="1"/>
    </xf>
    <xf numFmtId="187" fontId="36" fillId="2" borderId="7" xfId="4" applyNumberFormat="1" applyFont="1" applyFill="1" applyBorder="1" applyAlignment="1" applyProtection="1">
      <alignment vertical="center" shrinkToFit="1"/>
      <protection locked="0"/>
    </xf>
    <xf numFmtId="187" fontId="36" fillId="2" borderId="1" xfId="4" applyNumberFormat="1" applyFont="1" applyFill="1" applyBorder="1" applyAlignment="1" applyProtection="1">
      <alignment vertical="center" shrinkToFit="1"/>
      <protection locked="0"/>
    </xf>
    <xf numFmtId="187" fontId="36" fillId="3" borderId="5" xfId="4" applyNumberFormat="1" applyFont="1" applyFill="1" applyBorder="1" applyAlignment="1">
      <alignment vertical="center" shrinkToFit="1"/>
    </xf>
    <xf numFmtId="187" fontId="12" fillId="0" borderId="147" xfId="6" applyNumberFormat="1" applyFont="1" applyBorder="1" applyAlignment="1" applyProtection="1">
      <alignment horizontal="right" vertical="center" shrinkToFit="1"/>
    </xf>
    <xf numFmtId="187" fontId="36" fillId="0" borderId="7" xfId="4" applyNumberFormat="1" applyFont="1" applyBorder="1" applyAlignment="1">
      <alignment vertical="center" shrinkToFit="1"/>
    </xf>
    <xf numFmtId="187" fontId="36" fillId="0" borderId="1" xfId="4" applyNumberFormat="1" applyFont="1" applyBorder="1" applyAlignment="1">
      <alignment vertical="center" shrinkToFit="1"/>
    </xf>
    <xf numFmtId="189" fontId="12" fillId="0" borderId="147" xfId="6" applyNumberFormat="1" applyFont="1" applyBorder="1" applyAlignment="1" applyProtection="1">
      <alignment vertical="center" shrinkToFit="1"/>
    </xf>
    <xf numFmtId="189" fontId="36" fillId="0" borderId="7" xfId="6" applyNumberFormat="1" applyFont="1" applyBorder="1" applyAlignment="1" applyProtection="1">
      <alignment vertical="center" shrinkToFit="1"/>
    </xf>
    <xf numFmtId="189" fontId="36" fillId="0" borderId="1" xfId="6" applyNumberFormat="1" applyFont="1" applyBorder="1" applyAlignment="1" applyProtection="1">
      <alignment vertical="center" shrinkToFit="1"/>
    </xf>
    <xf numFmtId="189" fontId="12" fillId="0" borderId="148" xfId="6" applyNumberFormat="1" applyFont="1" applyBorder="1" applyAlignment="1" applyProtection="1">
      <alignment horizontal="center" vertical="center" shrinkToFit="1"/>
    </xf>
    <xf numFmtId="0" fontId="36" fillId="2" borderId="7" xfId="4" applyFont="1" applyFill="1" applyBorder="1" applyAlignment="1" applyProtection="1">
      <alignment horizontal="center" vertical="center" shrinkToFit="1"/>
      <protection locked="0"/>
    </xf>
    <xf numFmtId="0" fontId="36" fillId="2" borderId="1" xfId="4" applyFont="1" applyFill="1" applyBorder="1" applyAlignment="1" applyProtection="1">
      <alignment horizontal="center" vertical="center" shrinkToFit="1"/>
      <protection locked="0"/>
    </xf>
    <xf numFmtId="0" fontId="36" fillId="21" borderId="5" xfId="4" applyFont="1" applyFill="1" applyBorder="1" applyAlignment="1" applyProtection="1">
      <alignment horizontal="center" vertical="center" shrinkToFit="1"/>
      <protection locked="0"/>
    </xf>
    <xf numFmtId="0" fontId="36" fillId="9" borderId="7" xfId="4" applyFont="1" applyFill="1" applyBorder="1" applyAlignment="1" applyProtection="1">
      <alignment horizontal="center" vertical="center" shrinkToFit="1"/>
      <protection locked="0"/>
    </xf>
    <xf numFmtId="0" fontId="36" fillId="9" borderId="1" xfId="4" applyFont="1" applyFill="1" applyBorder="1" applyAlignment="1" applyProtection="1">
      <alignment horizontal="center" vertical="center" shrinkToFit="1"/>
      <protection locked="0"/>
    </xf>
    <xf numFmtId="0" fontId="36" fillId="21" borderId="5" xfId="4" applyFont="1" applyFill="1" applyBorder="1" applyAlignment="1">
      <alignment horizontal="right" vertical="center" shrinkToFit="1"/>
    </xf>
    <xf numFmtId="0" fontId="36" fillId="3" borderId="5" xfId="4" applyFont="1" applyFill="1" applyBorder="1" applyAlignment="1">
      <alignment vertical="center" shrinkToFit="1"/>
    </xf>
    <xf numFmtId="9" fontId="36" fillId="3" borderId="5" xfId="4" applyNumberFormat="1" applyFont="1" applyFill="1" applyBorder="1" applyAlignment="1">
      <alignment horizontal="center" vertical="center" shrinkToFit="1"/>
    </xf>
    <xf numFmtId="187" fontId="36" fillId="21" borderId="5" xfId="4" applyNumberFormat="1" applyFont="1" applyFill="1" applyBorder="1" applyAlignment="1">
      <alignment vertical="center" shrinkToFit="1"/>
    </xf>
    <xf numFmtId="187" fontId="36" fillId="21" borderId="5" xfId="4" applyNumberFormat="1" applyFont="1" applyFill="1" applyBorder="1" applyAlignment="1">
      <alignment horizontal="right" vertical="center" shrinkToFit="1"/>
    </xf>
    <xf numFmtId="0" fontId="36" fillId="3" borderId="5" xfId="4" applyFont="1" applyFill="1" applyBorder="1" applyAlignment="1">
      <alignment horizontal="left" vertical="center" shrinkToFit="1"/>
    </xf>
    <xf numFmtId="38" fontId="36" fillId="3" borderId="5" xfId="6" applyFont="1" applyFill="1" applyBorder="1" applyAlignment="1" applyProtection="1">
      <alignment horizontal="right" vertical="center" shrinkToFit="1"/>
    </xf>
    <xf numFmtId="9" fontId="36" fillId="21" borderId="5" xfId="4" applyNumberFormat="1" applyFont="1" applyFill="1" applyBorder="1" applyAlignment="1">
      <alignment horizontal="right" vertical="center" shrinkToFit="1"/>
    </xf>
    <xf numFmtId="187" fontId="36" fillId="3" borderId="5" xfId="4" applyNumberFormat="1" applyFont="1" applyFill="1" applyBorder="1" applyAlignment="1">
      <alignment horizontal="right" vertical="center" shrinkToFit="1"/>
    </xf>
    <xf numFmtId="189" fontId="36" fillId="3" borderId="5" xfId="6" applyNumberFormat="1" applyFont="1" applyFill="1" applyBorder="1" applyAlignment="1" applyProtection="1">
      <alignment vertical="center" shrinkToFit="1"/>
    </xf>
    <xf numFmtId="177" fontId="36" fillId="3" borderId="5" xfId="4" applyNumberFormat="1" applyFont="1" applyFill="1" applyBorder="1" applyAlignment="1">
      <alignment horizontal="right" vertical="center" shrinkToFit="1"/>
    </xf>
    <xf numFmtId="9" fontId="36" fillId="21" borderId="5" xfId="4" applyNumberFormat="1" applyFont="1" applyFill="1" applyBorder="1" applyAlignment="1">
      <alignment vertical="center" shrinkToFit="1"/>
    </xf>
    <xf numFmtId="9" fontId="36" fillId="3" borderId="5" xfId="4" applyNumberFormat="1" applyFont="1" applyFill="1" applyBorder="1" applyAlignment="1">
      <alignment vertical="center" shrinkToFit="1"/>
    </xf>
    <xf numFmtId="187" fontId="36" fillId="3" borderId="5" xfId="6" applyNumberFormat="1" applyFont="1" applyFill="1" applyBorder="1" applyAlignment="1" applyProtection="1">
      <alignment horizontal="right" vertical="center" shrinkToFit="1"/>
    </xf>
    <xf numFmtId="189" fontId="36" fillId="3" borderId="5" xfId="6" applyNumberFormat="1" applyFont="1" applyFill="1" applyBorder="1" applyAlignment="1" applyProtection="1">
      <alignment horizontal="center" vertical="center" shrinkToFit="1"/>
    </xf>
    <xf numFmtId="0" fontId="36" fillId="2" borderId="7" xfId="4" applyFont="1" applyFill="1" applyBorder="1" applyAlignment="1">
      <alignment vertical="center" shrinkToFit="1"/>
    </xf>
    <xf numFmtId="9" fontId="36" fillId="3" borderId="7" xfId="4" applyNumberFormat="1" applyFont="1" applyFill="1" applyBorder="1" applyAlignment="1">
      <alignment horizontal="center" vertical="center" shrinkToFit="1"/>
    </xf>
    <xf numFmtId="0" fontId="36" fillId="9" borderId="7" xfId="4" applyFont="1" applyFill="1" applyBorder="1" applyAlignment="1" applyProtection="1">
      <alignment horizontal="left" vertical="center" shrinkToFit="1"/>
      <protection locked="0"/>
    </xf>
    <xf numFmtId="38" fontId="36" fillId="3" borderId="7" xfId="6" applyFont="1" applyFill="1" applyBorder="1" applyAlignment="1" applyProtection="1">
      <alignment horizontal="right" vertical="center" shrinkToFit="1"/>
    </xf>
    <xf numFmtId="187" fontId="36" fillId="3" borderId="7" xfId="4" applyNumberFormat="1" applyFont="1" applyFill="1" applyBorder="1" applyAlignment="1">
      <alignment horizontal="right" vertical="center" shrinkToFit="1"/>
    </xf>
    <xf numFmtId="177" fontId="36" fillId="3" borderId="7" xfId="4" applyNumberFormat="1" applyFont="1" applyFill="1" applyBorder="1" applyAlignment="1">
      <alignment horizontal="right" vertical="center" shrinkToFit="1"/>
    </xf>
    <xf numFmtId="9" fontId="36" fillId="3" borderId="7" xfId="4" applyNumberFormat="1" applyFont="1" applyFill="1" applyBorder="1" applyAlignment="1">
      <alignment vertical="center" shrinkToFit="1"/>
    </xf>
    <xf numFmtId="187" fontId="36" fillId="3" borderId="7" xfId="6" applyNumberFormat="1" applyFont="1" applyFill="1" applyBorder="1" applyAlignment="1" applyProtection="1">
      <alignment horizontal="right" vertical="center" shrinkToFit="1"/>
    </xf>
    <xf numFmtId="189" fontId="36" fillId="0" borderId="7" xfId="6" applyNumberFormat="1" applyFont="1" applyFill="1" applyBorder="1" applyAlignment="1" applyProtection="1">
      <alignment vertical="center" shrinkToFit="1"/>
    </xf>
    <xf numFmtId="189" fontId="36" fillId="0" borderId="7" xfId="6" applyNumberFormat="1" applyFont="1" applyFill="1" applyBorder="1" applyAlignment="1" applyProtection="1">
      <alignment horizontal="center" vertical="center" shrinkToFit="1"/>
    </xf>
    <xf numFmtId="9" fontId="36" fillId="3" borderId="1" xfId="4" applyNumberFormat="1" applyFont="1" applyFill="1" applyBorder="1" applyAlignment="1">
      <alignment horizontal="center" vertical="center" shrinkToFit="1"/>
    </xf>
    <xf numFmtId="0" fontId="36" fillId="9" borderId="1" xfId="4" applyFont="1" applyFill="1" applyBorder="1" applyAlignment="1" applyProtection="1">
      <alignment horizontal="left" vertical="center" shrinkToFit="1"/>
      <protection locked="0"/>
    </xf>
    <xf numFmtId="38" fontId="36" fillId="3" borderId="1" xfId="6" applyFont="1" applyFill="1" applyBorder="1" applyAlignment="1" applyProtection="1">
      <alignment horizontal="right" vertical="center" shrinkToFit="1"/>
    </xf>
    <xf numFmtId="187" fontId="36" fillId="3" borderId="1" xfId="4" applyNumberFormat="1" applyFont="1" applyFill="1" applyBorder="1" applyAlignment="1">
      <alignment horizontal="right" vertical="center" shrinkToFit="1"/>
    </xf>
    <xf numFmtId="177" fontId="36" fillId="3" borderId="1" xfId="4" applyNumberFormat="1" applyFont="1" applyFill="1" applyBorder="1" applyAlignment="1">
      <alignment horizontal="right" vertical="center" shrinkToFit="1"/>
    </xf>
    <xf numFmtId="9" fontId="36" fillId="3" borderId="1" xfId="4" applyNumberFormat="1" applyFont="1" applyFill="1" applyBorder="1" applyAlignment="1">
      <alignment vertical="center" shrinkToFit="1"/>
    </xf>
    <xf numFmtId="189" fontId="36" fillId="0" borderId="1" xfId="6" applyNumberFormat="1" applyFont="1" applyFill="1" applyBorder="1" applyAlignment="1" applyProtection="1">
      <alignment vertical="center" shrinkToFit="1"/>
    </xf>
    <xf numFmtId="189" fontId="36" fillId="0" borderId="1" xfId="6" applyNumberFormat="1" applyFont="1" applyFill="1" applyBorder="1" applyAlignment="1" applyProtection="1">
      <alignment horizontal="center" vertical="center" shrinkToFit="1"/>
    </xf>
    <xf numFmtId="0" fontId="12" fillId="10" borderId="147" xfId="4" applyFont="1" applyFill="1" applyBorder="1" applyAlignment="1">
      <alignment vertical="center" shrinkToFit="1"/>
    </xf>
    <xf numFmtId="2" fontId="36" fillId="2" borderId="7" xfId="4" applyNumberFormat="1" applyFont="1" applyFill="1" applyBorder="1" applyAlignment="1" applyProtection="1">
      <alignment horizontal="center" vertical="center" shrinkToFit="1"/>
      <protection locked="0"/>
    </xf>
    <xf numFmtId="2" fontId="36" fillId="2" borderId="1" xfId="4" applyNumberFormat="1" applyFont="1" applyFill="1" applyBorder="1" applyAlignment="1" applyProtection="1">
      <alignment horizontal="center" vertical="center" shrinkToFit="1"/>
      <protection locked="0"/>
    </xf>
    <xf numFmtId="187" fontId="12" fillId="0" borderId="5" xfId="4" applyNumberFormat="1" applyFont="1" applyBorder="1" applyAlignment="1">
      <alignment vertical="center" shrinkToFit="1"/>
    </xf>
    <xf numFmtId="187" fontId="12" fillId="10" borderId="147" xfId="4" applyNumberFormat="1" applyFont="1" applyFill="1" applyBorder="1" applyAlignment="1">
      <alignment vertical="center" shrinkToFit="1"/>
    </xf>
    <xf numFmtId="187" fontId="12" fillId="21" borderId="5" xfId="4" applyNumberFormat="1" applyFont="1" applyFill="1" applyBorder="1" applyAlignment="1">
      <alignment vertical="center" shrinkToFit="1"/>
    </xf>
    <xf numFmtId="187" fontId="12" fillId="0" borderId="5" xfId="6" applyNumberFormat="1" applyFont="1" applyFill="1" applyBorder="1" applyAlignment="1" applyProtection="1">
      <alignment horizontal="right" vertical="center" shrinkToFit="1"/>
    </xf>
    <xf numFmtId="187" fontId="36" fillId="0" borderId="7" xfId="6" applyNumberFormat="1" applyFont="1" applyBorder="1" applyAlignment="1">
      <alignment vertical="center" shrinkToFit="1"/>
    </xf>
    <xf numFmtId="187" fontId="36" fillId="0" borderId="1" xfId="6" applyNumberFormat="1" applyFont="1" applyBorder="1" applyAlignment="1">
      <alignment vertical="center" shrinkToFit="1"/>
    </xf>
    <xf numFmtId="187" fontId="12" fillId="0" borderId="5" xfId="4" applyNumberFormat="1" applyFont="1" applyBorder="1" applyAlignment="1">
      <alignment horizontal="right" vertical="center" shrinkToFit="1"/>
    </xf>
    <xf numFmtId="187" fontId="12" fillId="0" borderId="148" xfId="4" applyNumberFormat="1" applyFont="1" applyBorder="1" applyAlignment="1">
      <alignment horizontal="right" vertical="center" shrinkToFit="1"/>
    </xf>
    <xf numFmtId="187" fontId="36" fillId="0" borderId="7" xfId="4" applyNumberFormat="1" applyFont="1" applyBorder="1" applyAlignment="1">
      <alignment horizontal="right" vertical="center" shrinkToFit="1"/>
    </xf>
    <xf numFmtId="187" fontId="36" fillId="0" borderId="1" xfId="4" applyNumberFormat="1" applyFont="1" applyBorder="1" applyAlignment="1">
      <alignment horizontal="right" vertical="center" shrinkToFit="1"/>
    </xf>
    <xf numFmtId="0" fontId="12" fillId="21" borderId="12" xfId="4" applyFont="1" applyFill="1" applyBorder="1" applyAlignment="1">
      <alignment vertical="center" shrinkToFit="1"/>
    </xf>
    <xf numFmtId="0" fontId="12" fillId="9" borderId="5" xfId="4" applyFont="1" applyFill="1" applyBorder="1" applyAlignment="1">
      <alignment horizontal="center" vertical="center" shrinkToFit="1"/>
    </xf>
    <xf numFmtId="178" fontId="12" fillId="0" borderId="5" xfId="4" applyNumberFormat="1" applyFont="1" applyBorder="1" applyAlignment="1">
      <alignment vertical="center" shrinkToFit="1"/>
    </xf>
    <xf numFmtId="9" fontId="12" fillId="21" borderId="5" xfId="4" applyNumberFormat="1" applyFont="1" applyFill="1" applyBorder="1" applyAlignment="1">
      <alignment vertical="center" shrinkToFit="1"/>
    </xf>
    <xf numFmtId="189" fontId="12" fillId="0" borderId="12" xfId="4" applyNumberFormat="1" applyFont="1" applyBorder="1" applyAlignment="1">
      <alignment vertical="center" shrinkToFit="1"/>
    </xf>
    <xf numFmtId="9" fontId="12" fillId="0" borderId="5" xfId="4" applyNumberFormat="1" applyFont="1" applyBorder="1" applyAlignment="1">
      <alignment vertical="center" shrinkToFit="1"/>
    </xf>
    <xf numFmtId="0" fontId="12" fillId="0" borderId="147" xfId="4" applyFont="1" applyBorder="1" applyAlignment="1">
      <alignment vertical="center" shrinkToFit="1"/>
    </xf>
    <xf numFmtId="189" fontId="12" fillId="0" borderId="147" xfId="4" applyNumberFormat="1" applyFont="1" applyBorder="1" applyAlignment="1">
      <alignment vertical="center" shrinkToFit="1"/>
    </xf>
    <xf numFmtId="176" fontId="36" fillId="9" borderId="7" xfId="4" applyNumberFormat="1" applyFont="1" applyFill="1" applyBorder="1" applyAlignment="1" applyProtection="1">
      <alignment horizontal="center" vertical="center" shrinkToFit="1"/>
      <protection locked="0"/>
    </xf>
    <xf numFmtId="178" fontId="36" fillId="0" borderId="7" xfId="4" applyNumberFormat="1" applyFont="1" applyBorder="1" applyAlignment="1">
      <alignment vertical="center" shrinkToFit="1"/>
    </xf>
    <xf numFmtId="9" fontId="36" fillId="2" borderId="7" xfId="5" applyFont="1" applyFill="1" applyBorder="1" applyAlignment="1" applyProtection="1">
      <alignment vertical="center" shrinkToFit="1"/>
      <protection locked="0"/>
    </xf>
    <xf numFmtId="189" fontId="36" fillId="0" borderId="15" xfId="4" applyNumberFormat="1" applyFont="1" applyBorder="1" applyAlignment="1">
      <alignment vertical="center" shrinkToFit="1"/>
    </xf>
    <xf numFmtId="9" fontId="36" fillId="0" borderId="7" xfId="5" applyFont="1" applyFill="1" applyBorder="1" applyAlignment="1">
      <alignment vertical="center" shrinkToFit="1"/>
    </xf>
    <xf numFmtId="189" fontId="36" fillId="0" borderId="7" xfId="4" applyNumberFormat="1" applyFont="1" applyBorder="1" applyAlignment="1">
      <alignment vertical="center" shrinkToFit="1"/>
    </xf>
    <xf numFmtId="176" fontId="36" fillId="9" borderId="1" xfId="4" applyNumberFormat="1" applyFont="1" applyFill="1" applyBorder="1" applyAlignment="1" applyProtection="1">
      <alignment horizontal="center" vertical="center" shrinkToFit="1"/>
      <protection locked="0"/>
    </xf>
    <xf numFmtId="178" fontId="36" fillId="0" borderId="1" xfId="4" applyNumberFormat="1" applyFont="1" applyBorder="1" applyAlignment="1">
      <alignment vertical="center" shrinkToFit="1"/>
    </xf>
    <xf numFmtId="9" fontId="36" fillId="2" borderId="1" xfId="5" applyFont="1" applyFill="1" applyBorder="1" applyAlignment="1" applyProtection="1">
      <alignment vertical="center" shrinkToFit="1"/>
      <protection locked="0"/>
    </xf>
    <xf numFmtId="189" fontId="36" fillId="0" borderId="4" xfId="4" applyNumberFormat="1" applyFont="1" applyBorder="1" applyAlignment="1">
      <alignment vertical="center" shrinkToFit="1"/>
    </xf>
    <xf numFmtId="9" fontId="36" fillId="0" borderId="1" xfId="5" applyFont="1" applyFill="1" applyBorder="1" applyAlignment="1">
      <alignment vertical="center" shrinkToFit="1"/>
    </xf>
    <xf numFmtId="189" fontId="36" fillId="0" borderId="1" xfId="4" applyNumberFormat="1" applyFont="1" applyBorder="1" applyAlignment="1">
      <alignment vertical="center" shrinkToFit="1"/>
    </xf>
    <xf numFmtId="187" fontId="12" fillId="21" borderId="5" xfId="4" applyNumberFormat="1" applyFont="1" applyFill="1" applyBorder="1" applyAlignment="1">
      <alignment horizontal="right" vertical="center" shrinkToFit="1"/>
    </xf>
    <xf numFmtId="187" fontId="12" fillId="0" borderId="147" xfId="4" applyNumberFormat="1" applyFont="1" applyBorder="1" applyAlignment="1">
      <alignment vertical="center" shrinkToFit="1"/>
    </xf>
    <xf numFmtId="187" fontId="12" fillId="3" borderId="5" xfId="4" applyNumberFormat="1" applyFont="1" applyFill="1" applyBorder="1" applyAlignment="1">
      <alignment horizontal="right" vertical="center" shrinkToFit="1"/>
    </xf>
    <xf numFmtId="187" fontId="12" fillId="3" borderId="5" xfId="4" applyNumberFormat="1" applyFont="1" applyFill="1" applyBorder="1" applyAlignment="1">
      <alignment vertical="center" shrinkToFit="1"/>
    </xf>
    <xf numFmtId="187" fontId="36" fillId="3" borderId="7" xfId="4" applyNumberFormat="1" applyFont="1" applyFill="1" applyBorder="1" applyAlignment="1">
      <alignment vertical="center" shrinkToFit="1"/>
    </xf>
    <xf numFmtId="187" fontId="36" fillId="3" borderId="1" xfId="4" applyNumberFormat="1" applyFont="1" applyFill="1" applyBorder="1" applyAlignment="1">
      <alignment vertical="center" shrinkToFit="1"/>
    </xf>
    <xf numFmtId="189" fontId="12" fillId="10" borderId="147" xfId="0" applyNumberFormat="1" applyFont="1" applyFill="1" applyBorder="1">
      <alignment vertical="center"/>
    </xf>
    <xf numFmtId="9" fontId="12" fillId="3" borderId="5" xfId="4" applyNumberFormat="1" applyFont="1" applyFill="1" applyBorder="1" applyAlignment="1">
      <alignment horizontal="right" vertical="center" shrinkToFit="1"/>
    </xf>
    <xf numFmtId="189" fontId="12" fillId="3" borderId="5" xfId="4" applyNumberFormat="1" applyFont="1" applyFill="1" applyBorder="1" applyAlignment="1">
      <alignment horizontal="right" vertical="center" shrinkToFit="1"/>
    </xf>
    <xf numFmtId="189" fontId="12" fillId="3" borderId="5" xfId="4" applyNumberFormat="1" applyFont="1" applyFill="1" applyBorder="1" applyAlignment="1">
      <alignment vertical="center" shrinkToFit="1"/>
    </xf>
    <xf numFmtId="189" fontId="12" fillId="10" borderId="147" xfId="0" applyNumberFormat="1" applyFont="1" applyFill="1" applyBorder="1" applyAlignment="1">
      <alignment vertical="center" shrinkToFit="1"/>
    </xf>
    <xf numFmtId="189" fontId="36" fillId="2" borderId="7" xfId="4" applyNumberFormat="1" applyFont="1" applyFill="1" applyBorder="1" applyAlignment="1" applyProtection="1">
      <alignment vertical="center" shrinkToFit="1"/>
      <protection locked="0"/>
    </xf>
    <xf numFmtId="9" fontId="36" fillId="0" borderId="7" xfId="5" applyFont="1" applyFill="1" applyBorder="1" applyAlignment="1" applyProtection="1">
      <alignment vertical="center" shrinkToFit="1"/>
    </xf>
    <xf numFmtId="189" fontId="36" fillId="2" borderId="1" xfId="4" applyNumberFormat="1" applyFont="1" applyFill="1" applyBorder="1" applyAlignment="1" applyProtection="1">
      <alignment vertical="center" shrinkToFit="1"/>
      <protection locked="0"/>
    </xf>
    <xf numFmtId="9" fontId="36" fillId="0" borderId="1" xfId="5" applyFont="1" applyFill="1" applyBorder="1" applyAlignment="1" applyProtection="1">
      <alignment vertical="center" shrinkToFit="1"/>
    </xf>
    <xf numFmtId="189" fontId="12" fillId="21" borderId="5" xfId="4" applyNumberFormat="1" applyFont="1" applyFill="1" applyBorder="1" applyAlignment="1">
      <alignment vertical="center" shrinkToFit="1"/>
    </xf>
    <xf numFmtId="189" fontId="12" fillId="0" borderId="147" xfId="4" applyNumberFormat="1" applyFont="1" applyBorder="1" applyAlignment="1">
      <alignment horizontal="right" vertical="center" shrinkToFit="1"/>
    </xf>
    <xf numFmtId="189" fontId="12" fillId="21" borderId="5" xfId="4" applyNumberFormat="1" applyFont="1" applyFill="1" applyBorder="1" applyAlignment="1">
      <alignment horizontal="right" vertical="center" shrinkToFit="1"/>
    </xf>
    <xf numFmtId="187" fontId="12" fillId="21" borderId="5" xfId="6" applyNumberFormat="1" applyFont="1" applyFill="1" applyBorder="1" applyAlignment="1" applyProtection="1">
      <alignment horizontal="right" vertical="center" shrinkToFit="1"/>
    </xf>
    <xf numFmtId="187" fontId="36" fillId="2" borderId="7" xfId="6" applyNumberFormat="1" applyFont="1" applyFill="1" applyBorder="1" applyAlignment="1" applyProtection="1">
      <alignment horizontal="right" vertical="center" shrinkToFit="1"/>
      <protection locked="0"/>
    </xf>
    <xf numFmtId="187" fontId="36" fillId="2" borderId="1" xfId="6" applyNumberFormat="1" applyFont="1" applyFill="1" applyBorder="1" applyAlignment="1" applyProtection="1">
      <alignment horizontal="right" vertical="center" shrinkToFit="1"/>
      <protection locked="0"/>
    </xf>
    <xf numFmtId="180" fontId="12" fillId="21" borderId="1" xfId="0" applyNumberFormat="1" applyFont="1" applyFill="1" applyBorder="1" applyAlignment="1">
      <alignment horizontal="center" vertical="center" shrinkToFit="1"/>
    </xf>
    <xf numFmtId="180" fontId="12" fillId="21" borderId="5" xfId="0" applyNumberFormat="1" applyFont="1" applyFill="1" applyBorder="1" applyAlignment="1">
      <alignment horizontal="center" vertical="center" shrinkToFit="1"/>
    </xf>
    <xf numFmtId="180" fontId="36" fillId="2" borderId="7" xfId="0" applyNumberFormat="1" applyFont="1" applyFill="1" applyBorder="1" applyAlignment="1">
      <alignment horizontal="center" vertical="center" shrinkToFit="1"/>
    </xf>
    <xf numFmtId="180" fontId="36" fillId="2" borderId="1" xfId="0" applyNumberFormat="1" applyFont="1" applyFill="1" applyBorder="1" applyAlignment="1">
      <alignment horizontal="center" vertical="center" shrinkToFit="1"/>
    </xf>
    <xf numFmtId="0" fontId="12" fillId="21" borderId="5" xfId="4" applyFont="1" applyFill="1" applyBorder="1" applyAlignment="1">
      <alignment horizontal="right" vertical="center" shrinkToFit="1"/>
    </xf>
    <xf numFmtId="9" fontId="12" fillId="0" borderId="5" xfId="4" applyNumberFormat="1" applyFont="1" applyBorder="1" applyAlignment="1">
      <alignment horizontal="right" vertical="center" shrinkToFit="1"/>
    </xf>
    <xf numFmtId="187" fontId="36" fillId="2" borderId="7" xfId="6" applyNumberFormat="1" applyFont="1" applyFill="1" applyBorder="1" applyAlignment="1" applyProtection="1">
      <alignment vertical="center" shrinkToFit="1"/>
      <protection locked="0"/>
    </xf>
    <xf numFmtId="187" fontId="36" fillId="0" borderId="7" xfId="6" applyNumberFormat="1" applyFont="1" applyBorder="1" applyAlignment="1" applyProtection="1">
      <alignment vertical="center" shrinkToFit="1"/>
    </xf>
    <xf numFmtId="187" fontId="36" fillId="2" borderId="1" xfId="6" applyNumberFormat="1" applyFont="1" applyFill="1" applyBorder="1" applyAlignment="1" applyProtection="1">
      <alignment vertical="center" shrinkToFit="1"/>
      <protection locked="0"/>
    </xf>
    <xf numFmtId="187" fontId="36" fillId="0" borderId="1" xfId="6" applyNumberFormat="1" applyFont="1" applyBorder="1" applyAlignment="1" applyProtection="1">
      <alignment vertical="center" shrinkToFit="1"/>
    </xf>
    <xf numFmtId="193" fontId="12" fillId="21" borderId="1" xfId="0" applyNumberFormat="1" applyFont="1" applyFill="1" applyBorder="1" applyAlignment="1">
      <alignment vertical="center" shrinkToFit="1"/>
    </xf>
    <xf numFmtId="193" fontId="12" fillId="21" borderId="5" xfId="0" applyNumberFormat="1" applyFont="1" applyFill="1" applyBorder="1" applyAlignment="1">
      <alignment vertical="center" shrinkToFit="1"/>
    </xf>
    <xf numFmtId="193" fontId="12" fillId="3" borderId="147" xfId="0" applyNumberFormat="1" applyFont="1" applyFill="1" applyBorder="1" applyAlignment="1">
      <alignment vertical="center" shrinkToFit="1"/>
    </xf>
    <xf numFmtId="193" fontId="36" fillId="2" borderId="7" xfId="0" applyNumberFormat="1" applyFont="1" applyFill="1" applyBorder="1" applyAlignment="1">
      <alignment vertical="center" shrinkToFit="1"/>
    </xf>
    <xf numFmtId="193" fontId="36" fillId="2" borderId="1" xfId="0" applyNumberFormat="1" applyFont="1" applyFill="1" applyBorder="1" applyAlignment="1">
      <alignment vertical="center" shrinkToFit="1"/>
    </xf>
    <xf numFmtId="193" fontId="12" fillId="3" borderId="1" xfId="0" applyNumberFormat="1" applyFont="1" applyFill="1" applyBorder="1" applyAlignment="1">
      <alignment vertical="center" shrinkToFit="1"/>
    </xf>
    <xf numFmtId="193" fontId="12" fillId="3" borderId="5" xfId="0" applyNumberFormat="1" applyFont="1" applyFill="1" applyBorder="1" applyAlignment="1">
      <alignment vertical="center" shrinkToFit="1"/>
    </xf>
    <xf numFmtId="193" fontId="12" fillId="3" borderId="148" xfId="0" applyNumberFormat="1" applyFont="1" applyFill="1" applyBorder="1" applyAlignment="1">
      <alignment vertical="center" shrinkToFit="1"/>
    </xf>
    <xf numFmtId="193" fontId="36" fillId="3" borderId="7" xfId="0" applyNumberFormat="1" applyFont="1" applyFill="1" applyBorder="1" applyAlignment="1">
      <alignment vertical="center" shrinkToFit="1"/>
    </xf>
    <xf numFmtId="193" fontId="36" fillId="3" borderId="1" xfId="0" applyNumberFormat="1" applyFont="1" applyFill="1" applyBorder="1" applyAlignment="1">
      <alignment vertical="center" shrinkToFit="1"/>
    </xf>
    <xf numFmtId="180" fontId="12" fillId="9" borderId="1" xfId="0" applyNumberFormat="1" applyFont="1" applyFill="1" applyBorder="1" applyAlignment="1">
      <alignment horizontal="center" vertical="center" shrinkToFit="1"/>
    </xf>
    <xf numFmtId="178" fontId="12" fillId="3" borderId="1" xfId="0" applyNumberFormat="1" applyFont="1" applyFill="1" applyBorder="1" applyAlignment="1">
      <alignment vertical="center" shrinkToFit="1"/>
    </xf>
    <xf numFmtId="180" fontId="12" fillId="9" borderId="5" xfId="0" applyNumberFormat="1" applyFont="1" applyFill="1" applyBorder="1" applyAlignment="1">
      <alignment horizontal="center" vertical="center" shrinkToFit="1"/>
    </xf>
    <xf numFmtId="178" fontId="12" fillId="3" borderId="5" xfId="0" applyNumberFormat="1" applyFont="1" applyFill="1" applyBorder="1" applyAlignment="1">
      <alignment vertical="center" shrinkToFit="1"/>
    </xf>
    <xf numFmtId="0" fontId="12" fillId="17" borderId="147" xfId="0" applyFont="1" applyFill="1" applyBorder="1" applyAlignment="1">
      <alignment horizontal="center" vertical="center" shrinkToFit="1"/>
    </xf>
    <xf numFmtId="0" fontId="12" fillId="17" borderId="147" xfId="0" applyFont="1" applyFill="1" applyBorder="1" applyAlignment="1">
      <alignment vertical="center" shrinkToFit="1"/>
    </xf>
    <xf numFmtId="180" fontId="36" fillId="9" borderId="7" xfId="0" applyNumberFormat="1" applyFont="1" applyFill="1" applyBorder="1" applyAlignment="1">
      <alignment horizontal="center" vertical="center" shrinkToFit="1"/>
    </xf>
    <xf numFmtId="178" fontId="36" fillId="3" borderId="7" xfId="0" applyNumberFormat="1" applyFont="1" applyFill="1" applyBorder="1" applyAlignment="1">
      <alignment vertical="center" shrinkToFit="1"/>
    </xf>
    <xf numFmtId="180" fontId="36" fillId="9" borderId="1" xfId="0" applyNumberFormat="1" applyFont="1" applyFill="1" applyBorder="1" applyAlignment="1">
      <alignment horizontal="center" vertical="center" shrinkToFit="1"/>
    </xf>
    <xf numFmtId="178" fontId="36" fillId="3" borderId="1" xfId="0" applyNumberFormat="1" applyFont="1" applyFill="1" applyBorder="1" applyAlignment="1">
      <alignment vertical="center" shrinkToFit="1"/>
    </xf>
    <xf numFmtId="180" fontId="36" fillId="21" borderId="5" xfId="0" applyNumberFormat="1" applyFont="1" applyFill="1" applyBorder="1" applyAlignment="1">
      <alignment horizontal="center" vertical="center"/>
    </xf>
    <xf numFmtId="180" fontId="36" fillId="21" borderId="5" xfId="0" applyNumberFormat="1" applyFont="1" applyFill="1" applyBorder="1" applyAlignment="1">
      <alignment horizontal="center" vertical="center" shrinkToFit="1"/>
    </xf>
    <xf numFmtId="180" fontId="36" fillId="9" borderId="5" xfId="0" applyNumberFormat="1" applyFont="1" applyFill="1" applyBorder="1" applyAlignment="1">
      <alignment horizontal="center" vertical="center" shrinkToFit="1"/>
    </xf>
    <xf numFmtId="193" fontId="36" fillId="21" borderId="5" xfId="0" applyNumberFormat="1" applyFont="1" applyFill="1" applyBorder="1" applyAlignment="1">
      <alignment vertical="center" shrinkToFit="1"/>
    </xf>
    <xf numFmtId="193" fontId="36" fillId="18" borderId="5" xfId="0" applyNumberFormat="1" applyFont="1" applyFill="1" applyBorder="1" applyAlignment="1">
      <alignment vertical="center" shrinkToFit="1"/>
    </xf>
    <xf numFmtId="193" fontId="36" fillId="3" borderId="5" xfId="0" applyNumberFormat="1" applyFont="1" applyFill="1" applyBorder="1" applyAlignment="1">
      <alignment vertical="center" shrinkToFit="1"/>
    </xf>
    <xf numFmtId="193" fontId="12" fillId="17" borderId="149" xfId="0" applyNumberFormat="1" applyFont="1" applyFill="1" applyBorder="1" applyAlignment="1">
      <alignment vertical="center" shrinkToFit="1"/>
    </xf>
    <xf numFmtId="193" fontId="36" fillId="18" borderId="7" xfId="0" applyNumberFormat="1" applyFont="1" applyFill="1" applyBorder="1" applyAlignment="1">
      <alignment vertical="center" shrinkToFit="1"/>
    </xf>
    <xf numFmtId="193" fontId="36" fillId="18" borderId="1" xfId="0" applyNumberFormat="1" applyFont="1" applyFill="1" applyBorder="1" applyAlignment="1">
      <alignment vertical="center" shrinkToFit="1"/>
    </xf>
    <xf numFmtId="189" fontId="36" fillId="21" borderId="5" xfId="0" applyNumberFormat="1" applyFont="1" applyFill="1" applyBorder="1">
      <alignment vertical="center"/>
    </xf>
    <xf numFmtId="189" fontId="36" fillId="2" borderId="7" xfId="0" applyNumberFormat="1" applyFont="1" applyFill="1" applyBorder="1">
      <alignment vertical="center"/>
    </xf>
    <xf numFmtId="189" fontId="36" fillId="2" borderId="1" xfId="0" applyNumberFormat="1" applyFont="1" applyFill="1" applyBorder="1">
      <alignment vertical="center"/>
    </xf>
    <xf numFmtId="189" fontId="36" fillId="0" borderId="5" xfId="0" applyNumberFormat="1" applyFont="1" applyBorder="1">
      <alignment vertical="center"/>
    </xf>
    <xf numFmtId="189" fontId="12" fillId="3" borderId="147" xfId="0" applyNumberFormat="1" applyFont="1" applyFill="1" applyBorder="1">
      <alignment vertical="center"/>
    </xf>
    <xf numFmtId="189" fontId="36" fillId="0" borderId="7" xfId="0" applyNumberFormat="1" applyFont="1" applyBorder="1">
      <alignment vertical="center"/>
    </xf>
    <xf numFmtId="189" fontId="36" fillId="0" borderId="1" xfId="0" applyNumberFormat="1" applyFont="1" applyBorder="1">
      <alignment vertical="center"/>
    </xf>
    <xf numFmtId="187" fontId="12" fillId="3" borderId="148" xfId="0" applyNumberFormat="1" applyFont="1" applyFill="1" applyBorder="1">
      <alignment vertical="center"/>
    </xf>
    <xf numFmtId="187" fontId="36" fillId="3" borderId="7" xfId="0" applyNumberFormat="1" applyFont="1" applyFill="1" applyBorder="1">
      <alignment vertical="center"/>
    </xf>
    <xf numFmtId="187" fontId="36" fillId="3" borderId="1" xfId="0" applyNumberFormat="1" applyFont="1" applyFill="1" applyBorder="1">
      <alignment vertical="center"/>
    </xf>
    <xf numFmtId="0" fontId="12" fillId="21" borderId="1" xfId="4" applyFont="1" applyFill="1" applyBorder="1" applyAlignment="1">
      <alignment horizontal="center" vertical="center" shrinkToFit="1"/>
    </xf>
    <xf numFmtId="0" fontId="12" fillId="21" borderId="5" xfId="4" applyFont="1" applyFill="1" applyBorder="1" applyAlignment="1" applyProtection="1">
      <alignment horizontal="center" vertical="center" shrinkToFit="1"/>
      <protection locked="0"/>
    </xf>
    <xf numFmtId="0" fontId="36" fillId="2" borderId="7" xfId="4" applyFont="1" applyFill="1" applyBorder="1" applyAlignment="1">
      <alignment horizontal="center" vertical="center" shrinkToFit="1"/>
    </xf>
    <xf numFmtId="0" fontId="36" fillId="2" borderId="1" xfId="4" applyFont="1" applyFill="1" applyBorder="1" applyAlignment="1">
      <alignment horizontal="center" vertical="center" shrinkToFit="1"/>
    </xf>
    <xf numFmtId="187" fontId="12" fillId="21" borderId="1" xfId="4" applyNumberFormat="1" applyFont="1" applyFill="1" applyBorder="1" applyAlignment="1">
      <alignment vertical="center" shrinkToFit="1"/>
    </xf>
    <xf numFmtId="187" fontId="36" fillId="2" borderId="7" xfId="4" applyNumberFormat="1" applyFont="1" applyFill="1" applyBorder="1" applyAlignment="1">
      <alignment vertical="center" shrinkToFit="1"/>
    </xf>
    <xf numFmtId="187" fontId="36" fillId="2" borderId="1" xfId="4" applyNumberFormat="1" applyFont="1" applyFill="1" applyBorder="1" applyAlignment="1">
      <alignment vertical="center" shrinkToFit="1"/>
    </xf>
    <xf numFmtId="187" fontId="12" fillId="3" borderId="1" xfId="4" applyNumberFormat="1" applyFont="1" applyFill="1" applyBorder="1" applyAlignment="1">
      <alignment vertical="center" shrinkToFit="1"/>
    </xf>
    <xf numFmtId="189" fontId="12" fillId="3" borderId="1" xfId="4" applyNumberFormat="1" applyFont="1" applyFill="1" applyBorder="1" applyAlignment="1">
      <alignment vertical="center" shrinkToFit="1"/>
    </xf>
    <xf numFmtId="189" fontId="36" fillId="3" borderId="7" xfId="4" applyNumberFormat="1" applyFont="1" applyFill="1" applyBorder="1" applyAlignment="1">
      <alignment vertical="center" shrinkToFit="1"/>
    </xf>
    <xf numFmtId="189" fontId="36" fillId="3" borderId="1" xfId="4" applyNumberFormat="1" applyFont="1" applyFill="1" applyBorder="1" applyAlignment="1">
      <alignment vertical="center" shrinkToFit="1"/>
    </xf>
    <xf numFmtId="189" fontId="12" fillId="7" borderId="1" xfId="4" applyNumberFormat="1" applyFont="1" applyFill="1" applyBorder="1" applyAlignment="1">
      <alignment horizontal="center" vertical="center"/>
    </xf>
    <xf numFmtId="0" fontId="12" fillId="9" borderId="1" xfId="4" applyFont="1" applyFill="1" applyBorder="1" applyAlignment="1">
      <alignment horizontal="center" vertical="center" shrinkToFit="1"/>
    </xf>
    <xf numFmtId="187" fontId="12" fillId="21" borderId="1" xfId="4" applyNumberFormat="1" applyFont="1" applyFill="1" applyBorder="1" applyAlignment="1">
      <alignment horizontal="right" vertical="center" shrinkToFit="1"/>
    </xf>
    <xf numFmtId="189" fontId="12" fillId="21" borderId="1" xfId="4" applyNumberFormat="1" applyFont="1" applyFill="1" applyBorder="1" applyAlignment="1">
      <alignment horizontal="right" vertical="center" shrinkToFit="1"/>
    </xf>
    <xf numFmtId="189" fontId="12" fillId="3" borderId="1" xfId="4" applyNumberFormat="1" applyFont="1" applyFill="1" applyBorder="1" applyAlignment="1">
      <alignment horizontal="right" vertical="center" shrinkToFit="1"/>
    </xf>
    <xf numFmtId="182" fontId="12" fillId="21" borderId="1" xfId="4" applyNumberFormat="1" applyFont="1" applyFill="1" applyBorder="1" applyAlignment="1">
      <alignment horizontal="right" vertical="center" shrinkToFit="1"/>
    </xf>
    <xf numFmtId="187" fontId="12" fillId="3" borderId="1" xfId="6" applyNumberFormat="1" applyFont="1" applyFill="1" applyBorder="1" applyAlignment="1" applyProtection="1">
      <alignment horizontal="right" vertical="center" shrinkToFit="1"/>
    </xf>
    <xf numFmtId="189" fontId="12" fillId="3" borderId="1" xfId="6" applyNumberFormat="1" applyFont="1" applyFill="1" applyBorder="1" applyAlignment="1" applyProtection="1">
      <alignment horizontal="right" vertical="center" shrinkToFit="1"/>
    </xf>
    <xf numFmtId="187" fontId="12" fillId="0" borderId="1" xfId="4" applyNumberFormat="1" applyFont="1" applyBorder="1" applyAlignment="1">
      <alignment horizontal="right" vertical="center" shrinkToFit="1"/>
    </xf>
    <xf numFmtId="187" fontId="12" fillId="3" borderId="1" xfId="6" applyNumberFormat="1" applyFont="1" applyFill="1" applyBorder="1" applyAlignment="1" applyProtection="1">
      <alignment vertical="center" shrinkToFit="1"/>
      <protection locked="0"/>
    </xf>
    <xf numFmtId="179" fontId="12" fillId="21" borderId="1" xfId="6" applyNumberFormat="1" applyFont="1" applyFill="1" applyBorder="1" applyAlignment="1" applyProtection="1">
      <alignment horizontal="right" vertical="center" shrinkToFit="1"/>
    </xf>
    <xf numFmtId="187" fontId="12" fillId="21" borderId="5" xfId="4" applyNumberFormat="1" applyFont="1" applyFill="1" applyBorder="1" applyAlignment="1" applyProtection="1">
      <alignment vertical="center" shrinkToFit="1"/>
      <protection locked="0"/>
    </xf>
    <xf numFmtId="189" fontId="12" fillId="21" borderId="5" xfId="4" applyNumberFormat="1" applyFont="1" applyFill="1" applyBorder="1" applyAlignment="1" applyProtection="1">
      <alignment vertical="center" shrinkToFit="1"/>
      <protection locked="0"/>
    </xf>
    <xf numFmtId="182" fontId="12" fillId="21" borderId="5" xfId="4" applyNumberFormat="1" applyFont="1" applyFill="1" applyBorder="1" applyAlignment="1" applyProtection="1">
      <alignment vertical="center" shrinkToFit="1"/>
      <protection locked="0"/>
    </xf>
    <xf numFmtId="187" fontId="12" fillId="3" borderId="5" xfId="6" applyNumberFormat="1" applyFont="1" applyFill="1" applyBorder="1" applyAlignment="1" applyProtection="1">
      <alignment horizontal="right" vertical="center" shrinkToFit="1"/>
    </xf>
    <xf numFmtId="189" fontId="12" fillId="3" borderId="5" xfId="6" applyNumberFormat="1" applyFont="1" applyFill="1" applyBorder="1" applyAlignment="1" applyProtection="1">
      <alignment horizontal="right" vertical="center" shrinkToFit="1"/>
    </xf>
    <xf numFmtId="182" fontId="12" fillId="21" borderId="5" xfId="4" applyNumberFormat="1" applyFont="1" applyFill="1" applyBorder="1" applyAlignment="1">
      <alignment horizontal="right" vertical="center" shrinkToFit="1"/>
    </xf>
    <xf numFmtId="187" fontId="12" fillId="3" borderId="5" xfId="6" applyNumberFormat="1" applyFont="1" applyFill="1" applyBorder="1" applyAlignment="1" applyProtection="1">
      <alignment vertical="center" shrinkToFit="1"/>
      <protection locked="0"/>
    </xf>
    <xf numFmtId="179" fontId="12" fillId="21" borderId="5" xfId="6" applyNumberFormat="1" applyFont="1" applyFill="1" applyBorder="1" applyAlignment="1" applyProtection="1">
      <alignment horizontal="right" vertical="center" shrinkToFit="1"/>
    </xf>
    <xf numFmtId="0" fontId="36" fillId="10" borderId="147" xfId="0" applyFont="1" applyFill="1" applyBorder="1" applyAlignment="1">
      <alignment horizontal="center" vertical="center" shrinkToFit="1"/>
    </xf>
    <xf numFmtId="187" fontId="36" fillId="10" borderId="147" xfId="0" applyNumberFormat="1" applyFont="1" applyFill="1" applyBorder="1" applyAlignment="1">
      <alignment vertical="center" shrinkToFit="1"/>
    </xf>
    <xf numFmtId="189" fontId="36" fillId="10" borderId="147" xfId="0" applyNumberFormat="1" applyFont="1" applyFill="1" applyBorder="1" applyAlignment="1">
      <alignment vertical="center" shrinkToFit="1"/>
    </xf>
    <xf numFmtId="187" fontId="36" fillId="0" borderId="147" xfId="4" applyNumberFormat="1" applyFont="1" applyBorder="1" applyAlignment="1">
      <alignment horizontal="right" vertical="center" shrinkToFit="1"/>
    </xf>
    <xf numFmtId="189" fontId="36" fillId="0" borderId="147" xfId="4" applyNumberFormat="1" applyFont="1" applyBorder="1" applyAlignment="1">
      <alignment horizontal="right" vertical="center" shrinkToFit="1"/>
    </xf>
    <xf numFmtId="192" fontId="36" fillId="10" borderId="147" xfId="0" applyNumberFormat="1" applyFont="1" applyFill="1" applyBorder="1" applyAlignment="1">
      <alignment vertical="center" shrinkToFit="1"/>
    </xf>
    <xf numFmtId="186" fontId="36" fillId="17" borderId="147" xfId="4" applyNumberFormat="1" applyFont="1" applyFill="1" applyBorder="1" applyAlignment="1">
      <alignment horizontal="right" vertical="center" shrinkToFit="1"/>
    </xf>
    <xf numFmtId="180" fontId="36" fillId="17" borderId="147" xfId="4" applyNumberFormat="1" applyFont="1" applyFill="1" applyBorder="1" applyAlignment="1">
      <alignment horizontal="right" vertical="center" shrinkToFit="1"/>
    </xf>
    <xf numFmtId="189" fontId="36" fillId="3" borderId="148" xfId="4" applyNumberFormat="1" applyFont="1" applyFill="1" applyBorder="1" applyAlignment="1">
      <alignment vertical="center" shrinkToFit="1"/>
    </xf>
    <xf numFmtId="0" fontId="36" fillId="9" borderId="7" xfId="4" applyFont="1" applyFill="1" applyBorder="1" applyAlignment="1">
      <alignment horizontal="center" vertical="center" shrinkToFit="1"/>
    </xf>
    <xf numFmtId="189" fontId="36" fillId="3" borderId="7" xfId="4" applyNumberFormat="1" applyFont="1" applyFill="1" applyBorder="1" applyAlignment="1">
      <alignment horizontal="right" vertical="center" shrinkToFit="1"/>
    </xf>
    <xf numFmtId="182" fontId="36" fillId="2" borderId="7" xfId="4" applyNumberFormat="1" applyFont="1" applyFill="1" applyBorder="1" applyAlignment="1" applyProtection="1">
      <alignment vertical="center" shrinkToFit="1"/>
      <protection locked="0"/>
    </xf>
    <xf numFmtId="189" fontId="36" fillId="3" borderId="7" xfId="6" applyNumberFormat="1" applyFont="1" applyFill="1" applyBorder="1" applyAlignment="1" applyProtection="1">
      <alignment horizontal="right" vertical="center" shrinkToFit="1"/>
    </xf>
    <xf numFmtId="182" fontId="36" fillId="2" borderId="7" xfId="4" applyNumberFormat="1" applyFont="1" applyFill="1" applyBorder="1" applyAlignment="1">
      <alignment horizontal="right" vertical="center" shrinkToFit="1"/>
    </xf>
    <xf numFmtId="187" fontId="36" fillId="3" borderId="7" xfId="6" applyNumberFormat="1" applyFont="1" applyFill="1" applyBorder="1" applyAlignment="1" applyProtection="1">
      <alignment vertical="center" shrinkToFit="1"/>
      <protection locked="0"/>
    </xf>
    <xf numFmtId="179" fontId="36" fillId="2" borderId="7" xfId="6" applyNumberFormat="1" applyFont="1" applyFill="1" applyBorder="1" applyAlignment="1" applyProtection="1">
      <alignment horizontal="right" vertical="center" shrinkToFit="1"/>
    </xf>
    <xf numFmtId="0" fontId="36" fillId="9" borderId="1" xfId="4" applyFont="1" applyFill="1" applyBorder="1" applyAlignment="1">
      <alignment horizontal="center" vertical="center" shrinkToFit="1"/>
    </xf>
    <xf numFmtId="189" fontId="36" fillId="3" borderId="1" xfId="4" applyNumberFormat="1" applyFont="1" applyFill="1" applyBorder="1" applyAlignment="1">
      <alignment horizontal="right" vertical="center" shrinkToFit="1"/>
    </xf>
    <xf numFmtId="182" fontId="36" fillId="2" borderId="1" xfId="4" applyNumberFormat="1" applyFont="1" applyFill="1" applyBorder="1" applyAlignment="1" applyProtection="1">
      <alignment vertical="center" shrinkToFit="1"/>
      <protection locked="0"/>
    </xf>
    <xf numFmtId="187" fontId="36" fillId="3" borderId="1" xfId="6" applyNumberFormat="1" applyFont="1" applyFill="1" applyBorder="1" applyAlignment="1" applyProtection="1">
      <alignment vertical="center" shrinkToFit="1"/>
      <protection locked="0"/>
    </xf>
    <xf numFmtId="0" fontId="36" fillId="10" borderId="149" xfId="0" applyFont="1" applyFill="1" applyBorder="1" applyAlignment="1">
      <alignment horizontal="center" vertical="center" shrinkToFit="1"/>
    </xf>
    <xf numFmtId="179" fontId="36" fillId="10" borderId="147" xfId="0" applyNumberFormat="1" applyFont="1" applyFill="1" applyBorder="1" applyAlignment="1">
      <alignment vertical="center" shrinkToFit="1"/>
    </xf>
    <xf numFmtId="187" fontId="12" fillId="21" borderId="11" xfId="4" applyNumberFormat="1" applyFont="1" applyFill="1" applyBorder="1" applyAlignment="1">
      <alignment horizontal="right" vertical="center" shrinkToFit="1"/>
    </xf>
    <xf numFmtId="182" fontId="12" fillId="21" borderId="11" xfId="4" applyNumberFormat="1" applyFont="1" applyFill="1" applyBorder="1" applyAlignment="1">
      <alignment horizontal="right" vertical="center" shrinkToFit="1"/>
    </xf>
    <xf numFmtId="179" fontId="12" fillId="3" borderId="5" xfId="4" applyNumberFormat="1" applyFont="1" applyFill="1" applyBorder="1" applyAlignment="1">
      <alignment horizontal="right" vertical="center" shrinkToFit="1"/>
    </xf>
    <xf numFmtId="192" fontId="12" fillId="21" borderId="5" xfId="4" applyNumberFormat="1" applyFont="1" applyFill="1" applyBorder="1" applyAlignment="1">
      <alignment horizontal="right" vertical="center" shrinkToFit="1"/>
    </xf>
    <xf numFmtId="189" fontId="12" fillId="0" borderId="5" xfId="4" applyNumberFormat="1" applyFont="1" applyBorder="1" applyAlignment="1">
      <alignment horizontal="right" vertical="center" shrinkToFit="1"/>
    </xf>
    <xf numFmtId="187" fontId="36" fillId="10" borderId="150" xfId="0" applyNumberFormat="1" applyFont="1" applyFill="1" applyBorder="1" applyAlignment="1">
      <alignment vertical="center" shrinkToFit="1"/>
    </xf>
    <xf numFmtId="182" fontId="36" fillId="10" borderId="150" xfId="0" applyNumberFormat="1" applyFont="1" applyFill="1" applyBorder="1" applyAlignment="1">
      <alignment vertical="center" shrinkToFit="1"/>
    </xf>
    <xf numFmtId="187" fontId="36" fillId="3" borderId="147" xfId="4" applyNumberFormat="1" applyFont="1" applyFill="1" applyBorder="1" applyAlignment="1">
      <alignment vertical="center" shrinkToFit="1"/>
    </xf>
    <xf numFmtId="189" fontId="36" fillId="3" borderId="147" xfId="4" applyNumberFormat="1" applyFont="1" applyFill="1" applyBorder="1" applyAlignment="1">
      <alignment vertical="center" shrinkToFit="1"/>
    </xf>
    <xf numFmtId="187" fontId="36" fillId="3" borderId="147" xfId="4" applyNumberFormat="1" applyFont="1" applyFill="1" applyBorder="1" applyAlignment="1">
      <alignment horizontal="right" vertical="center" shrinkToFit="1"/>
    </xf>
    <xf numFmtId="189" fontId="36" fillId="3" borderId="147" xfId="4" applyNumberFormat="1" applyFont="1" applyFill="1" applyBorder="1" applyAlignment="1">
      <alignment horizontal="right" vertical="center" shrinkToFit="1"/>
    </xf>
    <xf numFmtId="189" fontId="36" fillId="0" borderId="148" xfId="4" applyNumberFormat="1" applyFont="1" applyBorder="1" applyAlignment="1">
      <alignment horizontal="right" vertical="center" shrinkToFit="1"/>
    </xf>
    <xf numFmtId="187" fontId="36" fillId="2" borderId="10" xfId="4" applyNumberFormat="1" applyFont="1" applyFill="1" applyBorder="1" applyAlignment="1" applyProtection="1">
      <alignment vertical="center" shrinkToFit="1"/>
      <protection locked="0"/>
    </xf>
    <xf numFmtId="182" fontId="36" fillId="2" borderId="10" xfId="4" applyNumberFormat="1" applyFont="1" applyFill="1" applyBorder="1" applyAlignment="1" applyProtection="1">
      <alignment vertical="center" shrinkToFit="1"/>
      <protection locked="0"/>
    </xf>
    <xf numFmtId="179" fontId="36" fillId="3" borderId="7" xfId="4" applyNumberFormat="1" applyFont="1" applyFill="1" applyBorder="1" applyAlignment="1" applyProtection="1">
      <alignment vertical="center" shrinkToFit="1"/>
      <protection locked="0"/>
    </xf>
    <xf numFmtId="189" fontId="36" fillId="2" borderId="7" xfId="4" applyNumberFormat="1" applyFont="1" applyFill="1" applyBorder="1" applyAlignment="1">
      <alignment horizontal="right" vertical="center" shrinkToFit="1"/>
    </xf>
    <xf numFmtId="189" fontId="36" fillId="0" borderId="7" xfId="4" applyNumberFormat="1" applyFont="1" applyBorder="1" applyAlignment="1">
      <alignment horizontal="right" vertical="center" shrinkToFit="1"/>
    </xf>
    <xf numFmtId="187" fontId="36" fillId="2" borderId="2" xfId="4" applyNumberFormat="1" applyFont="1" applyFill="1" applyBorder="1" applyAlignment="1" applyProtection="1">
      <alignment vertical="center" shrinkToFit="1"/>
      <protection locked="0"/>
    </xf>
    <xf numFmtId="182" fontId="36" fillId="2" borderId="2" xfId="4" applyNumberFormat="1" applyFont="1" applyFill="1" applyBorder="1" applyAlignment="1" applyProtection="1">
      <alignment vertical="center" shrinkToFit="1"/>
      <protection locked="0"/>
    </xf>
    <xf numFmtId="179" fontId="36" fillId="3" borderId="1" xfId="4" applyNumberFormat="1" applyFont="1" applyFill="1" applyBorder="1" applyAlignment="1" applyProtection="1">
      <alignment vertical="center" shrinkToFit="1"/>
      <protection locked="0"/>
    </xf>
    <xf numFmtId="189" fontId="36" fillId="2" borderId="1" xfId="4" applyNumberFormat="1" applyFont="1" applyFill="1" applyBorder="1" applyAlignment="1">
      <alignment horizontal="right" vertical="center" shrinkToFit="1"/>
    </xf>
    <xf numFmtId="189" fontId="36" fillId="0" borderId="1" xfId="4" applyNumberFormat="1" applyFont="1" applyBorder="1" applyAlignment="1">
      <alignment horizontal="right" vertical="center" shrinkToFit="1"/>
    </xf>
    <xf numFmtId="0" fontId="12" fillId="21" borderId="5" xfId="0" applyFont="1" applyFill="1" applyBorder="1" applyAlignment="1">
      <alignment horizontal="center" vertical="center" shrinkToFit="1"/>
    </xf>
    <xf numFmtId="0" fontId="12" fillId="21" borderId="5" xfId="0" applyFont="1" applyFill="1" applyBorder="1" applyAlignment="1">
      <alignment vertical="center" shrinkToFit="1"/>
    </xf>
    <xf numFmtId="9" fontId="12" fillId="3" borderId="5" xfId="0" applyNumberFormat="1" applyFont="1" applyFill="1" applyBorder="1" applyAlignment="1">
      <alignment vertical="center" shrinkToFit="1"/>
    </xf>
    <xf numFmtId="187" fontId="12" fillId="21" borderId="5" xfId="0" applyNumberFormat="1" applyFont="1" applyFill="1" applyBorder="1" applyAlignment="1">
      <alignment vertical="center" shrinkToFit="1"/>
    </xf>
    <xf numFmtId="180" fontId="12" fillId="3" borderId="5" xfId="0" applyNumberFormat="1" applyFont="1" applyFill="1" applyBorder="1" applyAlignment="1">
      <alignment vertical="center" shrinkToFit="1"/>
    </xf>
    <xf numFmtId="187" fontId="12" fillId="3" borderId="5" xfId="0" applyNumberFormat="1" applyFont="1" applyFill="1" applyBorder="1" applyAlignment="1">
      <alignment vertical="center" shrinkToFit="1"/>
    </xf>
    <xf numFmtId="187" fontId="12" fillId="0" borderId="5" xfId="0" applyNumberFormat="1" applyFont="1" applyBorder="1" applyAlignment="1">
      <alignment vertical="center" shrinkToFit="1"/>
    </xf>
    <xf numFmtId="0" fontId="7" fillId="21" borderId="5" xfId="0" quotePrefix="1" applyFont="1" applyFill="1" applyBorder="1" applyAlignment="1">
      <alignment horizontal="center" vertical="center" shrinkToFit="1"/>
    </xf>
    <xf numFmtId="176" fontId="7" fillId="21" borderId="5" xfId="0" applyNumberFormat="1" applyFont="1" applyFill="1" applyBorder="1" applyAlignment="1">
      <alignment vertical="center" shrinkToFit="1"/>
    </xf>
    <xf numFmtId="184" fontId="7" fillId="3" borderId="5" xfId="0" applyNumberFormat="1" applyFont="1" applyFill="1" applyBorder="1" applyAlignment="1">
      <alignment vertical="center" shrinkToFit="1"/>
    </xf>
    <xf numFmtId="176" fontId="7" fillId="3" borderId="5" xfId="0" applyNumberFormat="1" applyFont="1" applyFill="1" applyBorder="1" applyAlignment="1">
      <alignment vertical="center" shrinkToFit="1"/>
    </xf>
    <xf numFmtId="0" fontId="85" fillId="3" borderId="153" xfId="0" applyFont="1" applyFill="1" applyBorder="1" applyAlignment="1">
      <alignment horizontal="centerContinuous" vertical="center"/>
    </xf>
    <xf numFmtId="0" fontId="85" fillId="3" borderId="152" xfId="0" applyFont="1" applyFill="1" applyBorder="1" applyAlignment="1">
      <alignment horizontal="centerContinuous" vertical="center"/>
    </xf>
    <xf numFmtId="189" fontId="85" fillId="3" borderId="153" xfId="0" applyNumberFormat="1" applyFont="1" applyFill="1" applyBorder="1" applyAlignment="1">
      <alignment horizontal="right" vertical="center"/>
    </xf>
    <xf numFmtId="0" fontId="85" fillId="3" borderId="152" xfId="0" applyFont="1" applyFill="1" applyBorder="1" applyAlignment="1">
      <alignment horizontal="center" vertical="center"/>
    </xf>
    <xf numFmtId="0" fontId="12" fillId="9" borderId="22" xfId="0" applyFont="1" applyFill="1" applyBorder="1" applyAlignment="1" applyProtection="1">
      <alignment horizontal="center" vertical="center" shrinkToFit="1"/>
      <protection locked="0"/>
    </xf>
    <xf numFmtId="0" fontId="12" fillId="9" borderId="23" xfId="0" applyFont="1" applyFill="1" applyBorder="1" applyAlignment="1" applyProtection="1">
      <alignment horizontal="center" vertical="center"/>
      <protection locked="0"/>
    </xf>
    <xf numFmtId="0" fontId="98" fillId="3" borderId="0" xfId="0" applyFont="1" applyFill="1" applyBorder="1">
      <alignment vertical="center"/>
    </xf>
    <xf numFmtId="0" fontId="99" fillId="3" borderId="0" xfId="0" applyFont="1" applyFill="1" applyBorder="1">
      <alignment vertical="center"/>
    </xf>
    <xf numFmtId="192" fontId="99" fillId="3" borderId="0" xfId="0" applyNumberFormat="1" applyFont="1" applyFill="1" applyBorder="1">
      <alignment vertical="center"/>
    </xf>
    <xf numFmtId="0" fontId="100" fillId="3" borderId="0" xfId="0" applyFont="1" applyFill="1" applyBorder="1">
      <alignment vertical="center"/>
    </xf>
    <xf numFmtId="0" fontId="101" fillId="3" borderId="0" xfId="0" applyFont="1" applyFill="1" applyBorder="1">
      <alignment vertical="center"/>
    </xf>
    <xf numFmtId="0" fontId="102" fillId="3" borderId="0" xfId="0" applyFont="1" applyFill="1" applyBorder="1">
      <alignment vertical="center"/>
    </xf>
    <xf numFmtId="199" fontId="102" fillId="3" borderId="0" xfId="0" applyNumberFormat="1" applyFont="1" applyFill="1" applyBorder="1" applyAlignment="1">
      <alignment horizontal="center" vertical="center"/>
    </xf>
    <xf numFmtId="177" fontId="102" fillId="3" borderId="0" xfId="0" applyNumberFormat="1" applyFont="1" applyFill="1" applyBorder="1">
      <alignment vertical="center"/>
    </xf>
    <xf numFmtId="181" fontId="99" fillId="3" borderId="0" xfId="0" applyNumberFormat="1" applyFont="1" applyFill="1" applyBorder="1">
      <alignment vertical="center"/>
    </xf>
    <xf numFmtId="201" fontId="99" fillId="3" borderId="0" xfId="0" applyNumberFormat="1" applyFont="1" applyFill="1" applyBorder="1">
      <alignment vertical="center"/>
    </xf>
    <xf numFmtId="178" fontId="99" fillId="3" borderId="0" xfId="0" applyNumberFormat="1" applyFont="1" applyFill="1" applyBorder="1">
      <alignment vertical="center"/>
    </xf>
    <xf numFmtId="0" fontId="12" fillId="2" borderId="7" xfId="4" applyFont="1" applyFill="1" applyBorder="1" applyAlignment="1" applyProtection="1">
      <alignment horizontal="center" vertical="center" shrinkToFit="1"/>
      <protection locked="0"/>
    </xf>
    <xf numFmtId="187" fontId="12" fillId="2" borderId="7" xfId="4" applyNumberFormat="1" applyFont="1" applyFill="1" applyBorder="1" applyAlignment="1" applyProtection="1">
      <alignment vertical="center" shrinkToFit="1"/>
      <protection locked="0"/>
    </xf>
    <xf numFmtId="9" fontId="12" fillId="3" borderId="7" xfId="4" applyNumberFormat="1" applyFont="1" applyFill="1" applyBorder="1" applyAlignment="1">
      <alignment horizontal="right" vertical="center" shrinkToFit="1"/>
    </xf>
    <xf numFmtId="189" fontId="12" fillId="2" borderId="7" xfId="4" applyNumberFormat="1" applyFont="1" applyFill="1" applyBorder="1" applyAlignment="1" applyProtection="1">
      <alignment vertical="center" shrinkToFit="1"/>
      <protection locked="0"/>
    </xf>
    <xf numFmtId="187" fontId="12" fillId="3" borderId="7" xfId="4" applyNumberFormat="1" applyFont="1" applyFill="1" applyBorder="1" applyAlignment="1">
      <alignment horizontal="right" vertical="center" shrinkToFit="1"/>
    </xf>
    <xf numFmtId="9" fontId="12" fillId="0" borderId="7" xfId="5" applyFont="1" applyFill="1" applyBorder="1" applyAlignment="1" applyProtection="1">
      <alignment vertical="center" shrinkToFit="1"/>
    </xf>
    <xf numFmtId="189" fontId="12" fillId="0" borderId="7" xfId="4" applyNumberFormat="1" applyFont="1" applyBorder="1" applyAlignment="1">
      <alignment vertical="center" shrinkToFit="1"/>
    </xf>
    <xf numFmtId="187" fontId="12" fillId="3" borderId="7" xfId="4" applyNumberFormat="1" applyFont="1" applyFill="1" applyBorder="1" applyAlignment="1">
      <alignment vertical="center" shrinkToFit="1"/>
    </xf>
    <xf numFmtId="0" fontId="12" fillId="2" borderId="1" xfId="4" applyFont="1" applyFill="1" applyBorder="1" applyAlignment="1" applyProtection="1">
      <alignment horizontal="center" vertical="center" shrinkToFit="1"/>
      <protection locked="0"/>
    </xf>
    <xf numFmtId="187" fontId="12" fillId="2" borderId="1" xfId="4" applyNumberFormat="1" applyFont="1" applyFill="1" applyBorder="1" applyAlignment="1" applyProtection="1">
      <alignment vertical="center" shrinkToFit="1"/>
      <protection locked="0"/>
    </xf>
    <xf numFmtId="9" fontId="12" fillId="3" borderId="1" xfId="4" applyNumberFormat="1" applyFont="1" applyFill="1" applyBorder="1" applyAlignment="1">
      <alignment horizontal="right" vertical="center" shrinkToFit="1"/>
    </xf>
    <xf numFmtId="189" fontId="12" fillId="2" borderId="1" xfId="4" applyNumberFormat="1" applyFont="1" applyFill="1" applyBorder="1" applyAlignment="1" applyProtection="1">
      <alignment vertical="center" shrinkToFit="1"/>
      <protection locked="0"/>
    </xf>
    <xf numFmtId="187" fontId="12" fillId="3" borderId="1" xfId="4" applyNumberFormat="1" applyFont="1" applyFill="1" applyBorder="1" applyAlignment="1">
      <alignment horizontal="right" vertical="center" shrinkToFit="1"/>
    </xf>
    <xf numFmtId="9" fontId="12" fillId="0" borderId="1" xfId="5" applyFont="1" applyFill="1" applyBorder="1" applyAlignment="1" applyProtection="1">
      <alignment vertical="center" shrinkToFit="1"/>
    </xf>
    <xf numFmtId="189" fontId="12" fillId="0" borderId="1" xfId="4" applyNumberFormat="1" applyFont="1" applyBorder="1" applyAlignment="1">
      <alignment vertical="center" shrinkToFit="1"/>
    </xf>
    <xf numFmtId="189" fontId="12" fillId="3" borderId="7" xfId="4" applyNumberFormat="1" applyFont="1" applyFill="1" applyBorder="1" applyAlignment="1">
      <alignment vertical="center" shrinkToFit="1"/>
    </xf>
    <xf numFmtId="0" fontId="12" fillId="8" borderId="1" xfId="0" applyFont="1" applyFill="1" applyBorder="1" applyAlignment="1">
      <alignment vertical="center" shrinkToFit="1"/>
    </xf>
    <xf numFmtId="0" fontId="12" fillId="3" borderId="0" xfId="4" quotePrefix="1" applyFont="1" applyFill="1"/>
    <xf numFmtId="0" fontId="3" fillId="3" borderId="0" xfId="4" applyFont="1" applyFill="1"/>
    <xf numFmtId="193" fontId="3" fillId="3" borderId="0" xfId="4" applyNumberFormat="1" applyFont="1" applyFill="1"/>
    <xf numFmtId="0" fontId="3" fillId="3" borderId="0" xfId="4" applyFont="1" applyFill="1" applyAlignment="1">
      <alignment shrinkToFit="1"/>
    </xf>
    <xf numFmtId="189" fontId="44" fillId="10" borderId="147" xfId="4" applyNumberFormat="1" applyFont="1" applyFill="1" applyBorder="1" applyAlignment="1">
      <alignment horizontal="right" vertical="center" shrinkToFit="1"/>
    </xf>
    <xf numFmtId="0" fontId="22" fillId="5" borderId="4" xfId="0" applyFont="1" applyFill="1" applyBorder="1" applyAlignment="1">
      <alignment vertical="center" shrinkToFit="1"/>
    </xf>
    <xf numFmtId="0" fontId="92" fillId="5" borderId="4" xfId="0" applyFont="1" applyFill="1" applyBorder="1" applyAlignment="1">
      <alignment vertical="center" shrinkToFit="1"/>
    </xf>
    <xf numFmtId="179" fontId="38" fillId="5" borderId="1" xfId="0" applyNumberFormat="1" applyFont="1" applyFill="1" applyBorder="1" applyAlignment="1">
      <alignment vertical="center" shrinkToFit="1"/>
    </xf>
    <xf numFmtId="179" fontId="38" fillId="6" borderId="1" xfId="0" applyNumberFormat="1" applyFont="1" applyFill="1" applyBorder="1" applyAlignment="1">
      <alignment vertical="center" shrinkToFit="1"/>
    </xf>
    <xf numFmtId="179" fontId="38" fillId="24" borderId="1" xfId="0" applyNumberFormat="1" applyFont="1" applyFill="1" applyBorder="1" applyAlignment="1">
      <alignment vertical="center" shrinkToFit="1"/>
    </xf>
    <xf numFmtId="179" fontId="38" fillId="4" borderId="1" xfId="0" applyNumberFormat="1" applyFont="1" applyFill="1" applyBorder="1" applyAlignment="1">
      <alignment vertical="center" shrinkToFit="1"/>
    </xf>
    <xf numFmtId="193" fontId="81" fillId="3" borderId="12" xfId="0" applyNumberFormat="1" applyFont="1" applyFill="1" applyBorder="1" applyAlignment="1">
      <alignment vertical="center" shrinkToFit="1"/>
    </xf>
    <xf numFmtId="193" fontId="81" fillId="3" borderId="11" xfId="0" applyNumberFormat="1" applyFont="1" applyFill="1" applyBorder="1" applyAlignment="1">
      <alignment vertical="center" shrinkToFit="1"/>
    </xf>
    <xf numFmtId="193" fontId="81" fillId="3" borderId="0" xfId="0" applyNumberFormat="1" applyFont="1" applyFill="1" applyAlignment="1">
      <alignment vertical="center" shrinkToFit="1"/>
    </xf>
    <xf numFmtId="193" fontId="81" fillId="3" borderId="14" xfId="0" applyNumberFormat="1" applyFont="1" applyFill="1" applyBorder="1" applyAlignment="1">
      <alignment vertical="center" shrinkToFit="1"/>
    </xf>
    <xf numFmtId="193" fontId="81" fillId="3" borderId="15" xfId="0" applyNumberFormat="1" applyFont="1" applyFill="1" applyBorder="1" applyAlignment="1">
      <alignment vertical="center" shrinkToFit="1"/>
    </xf>
    <xf numFmtId="193" fontId="81" fillId="3" borderId="10" xfId="0" applyNumberFormat="1" applyFont="1" applyFill="1" applyBorder="1" applyAlignment="1">
      <alignment vertical="center" shrinkToFit="1"/>
    </xf>
    <xf numFmtId="179" fontId="38" fillId="3" borderId="1" xfId="0" applyNumberFormat="1" applyFont="1" applyFill="1" applyBorder="1" applyAlignment="1">
      <alignment vertical="center" shrinkToFit="1"/>
    </xf>
    <xf numFmtId="179" fontId="40" fillId="5" borderId="1" xfId="0" applyNumberFormat="1" applyFont="1" applyFill="1" applyBorder="1" applyAlignment="1">
      <alignment vertical="center" shrinkToFit="1"/>
    </xf>
    <xf numFmtId="178" fontId="40" fillId="3" borderId="1" xfId="0" applyNumberFormat="1" applyFont="1" applyFill="1" applyBorder="1" applyAlignment="1">
      <alignment vertical="center" shrinkToFit="1"/>
    </xf>
    <xf numFmtId="179" fontId="40" fillId="6" borderId="1" xfId="0" applyNumberFormat="1" applyFont="1" applyFill="1" applyBorder="1" applyAlignment="1">
      <alignment vertical="center" shrinkToFit="1"/>
    </xf>
    <xf numFmtId="179" fontId="40" fillId="24" borderId="1" xfId="0" applyNumberFormat="1" applyFont="1" applyFill="1" applyBorder="1" applyAlignment="1">
      <alignment vertical="center" shrinkToFit="1"/>
    </xf>
    <xf numFmtId="179" fontId="40" fillId="4" borderId="1" xfId="0" applyNumberFormat="1" applyFont="1" applyFill="1" applyBorder="1" applyAlignment="1">
      <alignment vertical="center" shrinkToFit="1"/>
    </xf>
    <xf numFmtId="177" fontId="81" fillId="3" borderId="12" xfId="0" applyNumberFormat="1" applyFont="1" applyFill="1" applyBorder="1" applyAlignment="1">
      <alignment vertical="center" shrinkToFit="1"/>
    </xf>
    <xf numFmtId="177" fontId="81" fillId="3" borderId="11" xfId="0" applyNumberFormat="1" applyFont="1" applyFill="1" applyBorder="1" applyAlignment="1">
      <alignment vertical="center" shrinkToFit="1"/>
    </xf>
    <xf numFmtId="177" fontId="81" fillId="3" borderId="0" xfId="0" applyNumberFormat="1" applyFont="1" applyFill="1" applyAlignment="1">
      <alignment vertical="center" shrinkToFit="1"/>
    </xf>
    <xf numFmtId="177" fontId="81" fillId="3" borderId="14" xfId="0" applyNumberFormat="1" applyFont="1" applyFill="1" applyBorder="1" applyAlignment="1">
      <alignment vertical="center" shrinkToFit="1"/>
    </xf>
    <xf numFmtId="177" fontId="81" fillId="3" borderId="15" xfId="0" applyNumberFormat="1" applyFont="1" applyFill="1" applyBorder="1" applyAlignment="1">
      <alignment vertical="center" shrinkToFit="1"/>
    </xf>
    <xf numFmtId="177" fontId="81" fillId="3" borderId="10" xfId="0" applyNumberFormat="1" applyFont="1" applyFill="1" applyBorder="1" applyAlignment="1">
      <alignment vertical="center" shrinkToFit="1"/>
    </xf>
    <xf numFmtId="179" fontId="40" fillId="3" borderId="1" xfId="0" applyNumberFormat="1" applyFont="1" applyFill="1" applyBorder="1" applyAlignment="1">
      <alignment vertical="center" shrinkToFit="1"/>
    </xf>
    <xf numFmtId="0" fontId="12" fillId="4" borderId="157" xfId="0" applyFont="1" applyFill="1" applyBorder="1" applyAlignment="1">
      <alignment horizontal="center" vertical="center"/>
    </xf>
    <xf numFmtId="0" fontId="12" fillId="3" borderId="158" xfId="0" applyFont="1" applyFill="1" applyBorder="1">
      <alignment vertical="center"/>
    </xf>
    <xf numFmtId="0" fontId="12" fillId="3" borderId="158" xfId="0" applyFont="1" applyFill="1" applyBorder="1" applyAlignment="1">
      <alignment vertical="center" wrapText="1"/>
    </xf>
    <xf numFmtId="0" fontId="12" fillId="3" borderId="159" xfId="0" applyFont="1" applyFill="1" applyBorder="1" applyAlignment="1">
      <alignment vertical="center" wrapText="1"/>
    </xf>
    <xf numFmtId="0" fontId="3" fillId="3" borderId="160" xfId="0" applyFont="1" applyFill="1" applyBorder="1">
      <alignment vertical="center"/>
    </xf>
    <xf numFmtId="0" fontId="12" fillId="3" borderId="74" xfId="0" applyFont="1" applyFill="1" applyBorder="1">
      <alignment vertical="center"/>
    </xf>
    <xf numFmtId="200" fontId="103" fillId="5" borderId="4" xfId="0" applyNumberFormat="1" applyFont="1" applyFill="1" applyBorder="1" applyAlignment="1">
      <alignment horizontal="right" vertical="center"/>
    </xf>
    <xf numFmtId="0" fontId="104" fillId="5" borderId="2" xfId="0" applyFont="1" applyFill="1" applyBorder="1" applyAlignment="1">
      <alignment horizontal="center" vertical="center"/>
    </xf>
    <xf numFmtId="206" fontId="103" fillId="5" borderId="4" xfId="0" applyNumberFormat="1" applyFont="1" applyFill="1" applyBorder="1" applyAlignment="1">
      <alignment horizontal="left" vertical="center"/>
    </xf>
    <xf numFmtId="0" fontId="103" fillId="5" borderId="4" xfId="0" applyFont="1" applyFill="1" applyBorder="1" applyAlignment="1">
      <alignment horizontal="left" vertical="center"/>
    </xf>
    <xf numFmtId="0" fontId="58" fillId="23" borderId="3" xfId="0" applyFont="1" applyFill="1" applyBorder="1" applyAlignment="1">
      <alignment horizontal="center" vertical="center"/>
    </xf>
    <xf numFmtId="0" fontId="58" fillId="23" borderId="2" xfId="0" applyFont="1" applyFill="1" applyBorder="1" applyAlignment="1">
      <alignment horizontal="center" vertical="center"/>
    </xf>
    <xf numFmtId="0" fontId="69" fillId="0" borderId="12" xfId="0" applyFont="1" applyBorder="1" applyAlignment="1">
      <alignment horizontal="left" vertical="center" wrapText="1"/>
    </xf>
    <xf numFmtId="0" fontId="69" fillId="0" borderId="12" xfId="0" applyFont="1" applyBorder="1" applyAlignment="1">
      <alignment horizontal="left" vertical="center"/>
    </xf>
    <xf numFmtId="0" fontId="58" fillId="23" borderId="4" xfId="0" applyFont="1" applyFill="1" applyBorder="1" applyAlignment="1">
      <alignment horizontal="center" vertical="center"/>
    </xf>
    <xf numFmtId="0" fontId="58" fillId="23" borderId="8" xfId="0" applyFont="1" applyFill="1" applyBorder="1" applyAlignment="1">
      <alignment horizontal="center" vertical="center" wrapText="1"/>
    </xf>
    <xf numFmtId="0" fontId="58" fillId="23" borderId="12" xfId="0" applyFont="1" applyFill="1" applyBorder="1" applyAlignment="1">
      <alignment horizontal="center" vertical="center" wrapText="1"/>
    </xf>
    <xf numFmtId="0" fontId="58" fillId="23" borderId="11" xfId="0" applyFont="1" applyFill="1" applyBorder="1" applyAlignment="1">
      <alignment horizontal="center" vertical="center" wrapText="1"/>
    </xf>
    <xf numFmtId="0" fontId="58" fillId="23" borderId="13" xfId="0" applyFont="1" applyFill="1" applyBorder="1" applyAlignment="1">
      <alignment horizontal="center" vertical="center" wrapText="1"/>
    </xf>
    <xf numFmtId="0" fontId="58" fillId="23" borderId="0" xfId="0" applyFont="1" applyFill="1" applyAlignment="1">
      <alignment horizontal="center" vertical="center" wrapText="1"/>
    </xf>
    <xf numFmtId="0" fontId="58" fillId="23" borderId="14" xfId="0" applyFont="1" applyFill="1" applyBorder="1" applyAlignment="1">
      <alignment horizontal="center" vertical="center" wrapText="1"/>
    </xf>
    <xf numFmtId="0" fontId="58" fillId="23" borderId="9" xfId="0" applyFont="1" applyFill="1" applyBorder="1" applyAlignment="1">
      <alignment horizontal="center" vertical="center" wrapText="1"/>
    </xf>
    <xf numFmtId="0" fontId="58" fillId="23" borderId="15" xfId="0" applyFont="1" applyFill="1" applyBorder="1" applyAlignment="1">
      <alignment horizontal="center" vertical="center" wrapText="1"/>
    </xf>
    <xf numFmtId="0" fontId="58" fillId="23" borderId="10" xfId="0" applyFont="1" applyFill="1" applyBorder="1" applyAlignment="1">
      <alignment horizontal="center" vertical="center" wrapText="1"/>
    </xf>
    <xf numFmtId="179" fontId="77" fillId="2" borderId="1" xfId="0" applyNumberFormat="1" applyFont="1" applyFill="1" applyBorder="1" applyAlignment="1">
      <alignment horizontal="right" vertical="center" shrinkToFit="1"/>
    </xf>
    <xf numFmtId="180" fontId="67" fillId="2" borderId="3" xfId="0" applyNumberFormat="1" applyFont="1" applyFill="1" applyBorder="1" applyAlignment="1">
      <alignment horizontal="center" vertical="center" shrinkToFit="1"/>
    </xf>
    <xf numFmtId="180" fontId="67" fillId="2" borderId="4" xfId="0" applyNumberFormat="1" applyFont="1" applyFill="1" applyBorder="1" applyAlignment="1">
      <alignment horizontal="center" vertical="center" shrinkToFit="1"/>
    </xf>
    <xf numFmtId="0" fontId="67" fillId="9" borderId="3" xfId="0" applyFont="1" applyFill="1" applyBorder="1" applyAlignment="1">
      <alignment horizontal="center" vertical="center" shrinkToFit="1"/>
    </xf>
    <xf numFmtId="0" fontId="67" fillId="9" borderId="4" xfId="0" applyFont="1" applyFill="1" applyBorder="1" applyAlignment="1">
      <alignment horizontal="center" vertical="center" shrinkToFit="1"/>
    </xf>
    <xf numFmtId="0" fontId="67" fillId="9" borderId="2" xfId="0" applyFont="1" applyFill="1" applyBorder="1" applyAlignment="1">
      <alignment horizontal="center" vertical="center" shrinkToFit="1"/>
    </xf>
    <xf numFmtId="0" fontId="69" fillId="3" borderId="13" xfId="0" applyFont="1" applyFill="1" applyBorder="1" applyAlignment="1">
      <alignment horizontal="center" vertical="center" wrapText="1"/>
    </xf>
    <xf numFmtId="0" fontId="69" fillId="3" borderId="0" xfId="0" applyFont="1" applyFill="1" applyAlignment="1">
      <alignment horizontal="center" vertical="center" wrapText="1"/>
    </xf>
    <xf numFmtId="0" fontId="69" fillId="3" borderId="14" xfId="0" applyFont="1" applyFill="1" applyBorder="1" applyAlignment="1">
      <alignment horizontal="center" vertical="center" wrapText="1"/>
    </xf>
    <xf numFmtId="0" fontId="67" fillId="2" borderId="9" xfId="0" applyFont="1" applyFill="1" applyBorder="1" applyAlignment="1">
      <alignment horizontal="center" vertical="center" shrinkToFit="1"/>
    </xf>
    <xf numFmtId="0" fontId="67" fillId="2" borderId="15" xfId="0" applyFont="1" applyFill="1" applyBorder="1" applyAlignment="1">
      <alignment horizontal="center" vertical="center" shrinkToFit="1"/>
    </xf>
    <xf numFmtId="0" fontId="67" fillId="2" borderId="10" xfId="0" applyFont="1" applyFill="1" applyBorder="1" applyAlignment="1">
      <alignment horizontal="center" vertical="center" shrinkToFit="1"/>
    </xf>
    <xf numFmtId="0" fontId="58" fillId="23" borderId="1" xfId="0" applyFont="1" applyFill="1" applyBorder="1" applyAlignment="1">
      <alignment horizontal="center" vertical="center"/>
    </xf>
    <xf numFmtId="0" fontId="66" fillId="23" borderId="77" xfId="0" applyFont="1" applyFill="1" applyBorder="1" applyAlignment="1">
      <alignment horizontal="center" vertical="center"/>
    </xf>
    <xf numFmtId="0" fontId="67" fillId="2" borderId="3" xfId="0" applyFont="1" applyFill="1" applyBorder="1" applyAlignment="1">
      <alignment horizontal="left" vertical="center" shrinkToFit="1"/>
    </xf>
    <xf numFmtId="0" fontId="67" fillId="2" borderId="4" xfId="0" applyFont="1" applyFill="1" applyBorder="1" applyAlignment="1">
      <alignment horizontal="left" vertical="center" shrinkToFit="1"/>
    </xf>
    <xf numFmtId="0" fontId="67" fillId="2" borderId="2" xfId="0" applyFont="1" applyFill="1" applyBorder="1" applyAlignment="1">
      <alignment horizontal="left" vertical="center" shrinkToFit="1"/>
    </xf>
    <xf numFmtId="0" fontId="67" fillId="2" borderId="3" xfId="0" applyFont="1" applyFill="1" applyBorder="1" applyAlignment="1">
      <alignment horizontal="center" vertical="center" shrinkToFit="1"/>
    </xf>
    <xf numFmtId="0" fontId="67" fillId="2" borderId="4" xfId="0" applyFont="1" applyFill="1" applyBorder="1" applyAlignment="1">
      <alignment horizontal="center" vertical="center" shrinkToFit="1"/>
    </xf>
    <xf numFmtId="202" fontId="91" fillId="3" borderId="4" xfId="0" applyNumberFormat="1" applyFont="1" applyFill="1" applyBorder="1" applyAlignment="1">
      <alignment horizontal="left" vertical="center" shrinkToFit="1"/>
    </xf>
    <xf numFmtId="202" fontId="91" fillId="3" borderId="2" xfId="0" applyNumberFormat="1" applyFont="1" applyFill="1" applyBorder="1" applyAlignment="1">
      <alignment horizontal="left" vertical="center" shrinkToFit="1"/>
    </xf>
    <xf numFmtId="0" fontId="87" fillId="23" borderId="1" xfId="0" applyFont="1" applyFill="1" applyBorder="1" applyAlignment="1">
      <alignment horizontal="center" vertical="center" shrinkToFit="1"/>
    </xf>
    <xf numFmtId="0" fontId="67" fillId="23" borderId="5" xfId="0" applyFont="1" applyFill="1" applyBorder="1" applyAlignment="1">
      <alignment horizontal="center" vertical="center" wrapText="1"/>
    </xf>
    <xf numFmtId="0" fontId="67" fillId="23" borderId="6" xfId="0" applyFont="1" applyFill="1" applyBorder="1" applyAlignment="1">
      <alignment horizontal="center" vertical="center" wrapText="1"/>
    </xf>
    <xf numFmtId="0" fontId="67" fillId="23" borderId="7" xfId="0" applyFont="1" applyFill="1" applyBorder="1" applyAlignment="1">
      <alignment horizontal="center" vertical="center" wrapText="1"/>
    </xf>
    <xf numFmtId="179" fontId="87" fillId="3" borderId="3" xfId="0" applyNumberFormat="1" applyFont="1" applyFill="1" applyBorder="1" applyAlignment="1">
      <alignment horizontal="center" vertical="center"/>
    </xf>
    <xf numFmtId="179" fontId="87" fillId="3" borderId="4" xfId="0" applyNumberFormat="1" applyFont="1" applyFill="1" applyBorder="1" applyAlignment="1">
      <alignment horizontal="center" vertical="center"/>
    </xf>
    <xf numFmtId="179" fontId="87" fillId="3" borderId="2" xfId="0" applyNumberFormat="1" applyFont="1" applyFill="1" applyBorder="1" applyAlignment="1">
      <alignment horizontal="center" vertical="center"/>
    </xf>
    <xf numFmtId="193" fontId="87" fillId="3" borderId="3" xfId="0" applyNumberFormat="1" applyFont="1" applyFill="1" applyBorder="1" applyAlignment="1">
      <alignment horizontal="center" vertical="center" shrinkToFit="1"/>
    </xf>
    <xf numFmtId="193" fontId="87" fillId="3" borderId="4" xfId="0" applyNumberFormat="1" applyFont="1" applyFill="1" applyBorder="1" applyAlignment="1">
      <alignment horizontal="center" vertical="center" shrinkToFit="1"/>
    </xf>
    <xf numFmtId="193" fontId="87" fillId="3" borderId="2" xfId="0" applyNumberFormat="1" applyFont="1" applyFill="1" applyBorder="1" applyAlignment="1">
      <alignment horizontal="center" vertical="center" shrinkToFit="1"/>
    </xf>
    <xf numFmtId="178" fontId="92" fillId="3" borderId="3" xfId="0" applyNumberFormat="1" applyFont="1" applyFill="1" applyBorder="1" applyAlignment="1">
      <alignment horizontal="center" vertical="center"/>
    </xf>
    <xf numFmtId="178" fontId="92" fillId="3" borderId="4" xfId="0" applyNumberFormat="1" applyFont="1" applyFill="1" applyBorder="1" applyAlignment="1">
      <alignment horizontal="center" vertical="center"/>
    </xf>
    <xf numFmtId="178" fontId="92" fillId="3" borderId="2" xfId="0" applyNumberFormat="1" applyFont="1" applyFill="1" applyBorder="1" applyAlignment="1">
      <alignment horizontal="center" vertical="center"/>
    </xf>
    <xf numFmtId="193" fontId="92" fillId="3" borderId="3" xfId="0" applyNumberFormat="1" applyFont="1" applyFill="1" applyBorder="1" applyAlignment="1">
      <alignment vertical="center" shrinkToFit="1"/>
    </xf>
    <xf numFmtId="193" fontId="92" fillId="3" borderId="4" xfId="0" applyNumberFormat="1" applyFont="1" applyFill="1" applyBorder="1" applyAlignment="1">
      <alignment vertical="center" shrinkToFit="1"/>
    </xf>
    <xf numFmtId="193" fontId="92" fillId="3" borderId="5" xfId="0" applyNumberFormat="1" applyFont="1" applyFill="1" applyBorder="1" applyAlignment="1">
      <alignment horizontal="right" vertical="center" shrinkToFit="1"/>
    </xf>
    <xf numFmtId="193" fontId="92" fillId="3" borderId="1" xfId="0" applyNumberFormat="1" applyFont="1" applyFill="1" applyBorder="1" applyAlignment="1">
      <alignment horizontal="right" vertical="center" shrinkToFit="1"/>
    </xf>
    <xf numFmtId="179" fontId="92" fillId="3" borderId="3" xfId="0" applyNumberFormat="1" applyFont="1" applyFill="1" applyBorder="1" applyAlignment="1">
      <alignment vertical="center" shrinkToFit="1"/>
    </xf>
    <xf numFmtId="179" fontId="92" fillId="3" borderId="4" xfId="0" applyNumberFormat="1" applyFont="1" applyFill="1" applyBorder="1" applyAlignment="1">
      <alignment vertical="center" shrinkToFit="1"/>
    </xf>
    <xf numFmtId="0" fontId="87" fillId="23" borderId="1" xfId="0" applyFont="1" applyFill="1" applyBorder="1" applyAlignment="1">
      <alignment horizontal="center" vertical="center" wrapText="1" shrinkToFit="1"/>
    </xf>
    <xf numFmtId="0" fontId="3" fillId="3" borderId="5" xfId="0" applyFont="1" applyFill="1" applyBorder="1" applyAlignment="1">
      <alignment horizontal="center" vertical="center"/>
    </xf>
    <xf numFmtId="0" fontId="3" fillId="3" borderId="7" xfId="0" applyFont="1" applyFill="1" applyBorder="1" applyAlignment="1">
      <alignment horizontal="center" vertical="center"/>
    </xf>
    <xf numFmtId="193" fontId="92" fillId="5" borderId="4" xfId="0" applyNumberFormat="1" applyFont="1" applyFill="1" applyBorder="1" applyAlignment="1">
      <alignment horizontal="right" vertical="center" shrinkToFit="1"/>
    </xf>
    <xf numFmtId="193" fontId="92" fillId="5" borderId="2" xfId="0" applyNumberFormat="1" applyFont="1" applyFill="1" applyBorder="1" applyAlignment="1">
      <alignment horizontal="right" vertical="center" shrinkToFit="1"/>
    </xf>
    <xf numFmtId="0" fontId="87" fillId="23" borderId="4" xfId="0" applyFont="1" applyFill="1" applyBorder="1">
      <alignment vertical="center"/>
    </xf>
    <xf numFmtId="0" fontId="87" fillId="23" borderId="2" xfId="0" applyFont="1" applyFill="1" applyBorder="1">
      <alignment vertical="center"/>
    </xf>
    <xf numFmtId="0" fontId="87" fillId="23" borderId="1" xfId="0" applyFont="1" applyFill="1" applyBorder="1" applyAlignment="1">
      <alignment horizontal="center" vertical="center"/>
    </xf>
    <xf numFmtId="0" fontId="87" fillId="23" borderId="5" xfId="0" applyFont="1" applyFill="1" applyBorder="1">
      <alignment vertical="center"/>
    </xf>
    <xf numFmtId="0" fontId="87" fillId="23" borderId="6" xfId="0" applyFont="1" applyFill="1" applyBorder="1">
      <alignment vertical="center"/>
    </xf>
    <xf numFmtId="0" fontId="87" fillId="23" borderId="9" xfId="0" applyFont="1" applyFill="1" applyBorder="1">
      <alignment vertical="center"/>
    </xf>
    <xf numFmtId="0" fontId="87" fillId="23" borderId="8" xfId="0" applyFont="1" applyFill="1" applyBorder="1" applyAlignment="1">
      <alignment vertical="center" wrapText="1"/>
    </xf>
    <xf numFmtId="0" fontId="87" fillId="23" borderId="13" xfId="0" applyFont="1" applyFill="1" applyBorder="1">
      <alignment vertical="center"/>
    </xf>
    <xf numFmtId="0" fontId="58" fillId="0" borderId="1" xfId="0" applyFont="1" applyBorder="1" applyAlignment="1">
      <alignment horizontal="left" vertical="center"/>
    </xf>
    <xf numFmtId="0" fontId="63" fillId="0" borderId="0" xfId="0" applyFont="1" applyAlignment="1">
      <alignment horizontal="left" vertical="center"/>
    </xf>
    <xf numFmtId="0" fontId="69" fillId="0" borderId="15" xfId="0" applyFont="1" applyBorder="1" applyAlignment="1">
      <alignment horizontal="left" vertical="center" wrapText="1"/>
    </xf>
    <xf numFmtId="0" fontId="69" fillId="0" borderId="15" xfId="0" applyFont="1" applyBorder="1" applyAlignment="1">
      <alignment horizontal="left" vertical="center"/>
    </xf>
    <xf numFmtId="0" fontId="58" fillId="23" borderId="1" xfId="0" applyFont="1" applyFill="1" applyBorder="1" applyAlignment="1">
      <alignment horizontal="left" vertical="center"/>
    </xf>
    <xf numFmtId="0" fontId="58" fillId="23" borderId="1" xfId="0" applyFont="1" applyFill="1" applyBorder="1" applyAlignment="1">
      <alignment horizontal="left" vertical="top" wrapText="1"/>
    </xf>
    <xf numFmtId="0" fontId="58" fillId="23" borderId="1" xfId="0" applyFont="1" applyFill="1" applyBorder="1" applyAlignment="1">
      <alignment horizontal="left" vertical="top"/>
    </xf>
    <xf numFmtId="0" fontId="58" fillId="23" borderId="3" xfId="0" applyFont="1" applyFill="1" applyBorder="1" applyAlignment="1">
      <alignment horizontal="left" vertical="center"/>
    </xf>
    <xf numFmtId="0" fontId="58" fillId="23" borderId="2" xfId="0" applyFont="1" applyFill="1" applyBorder="1" applyAlignment="1">
      <alignment horizontal="left" vertical="center"/>
    </xf>
    <xf numFmtId="0" fontId="64" fillId="23" borderId="1" xfId="0" applyFont="1" applyFill="1" applyBorder="1" applyAlignment="1">
      <alignment horizontal="left" vertical="center"/>
    </xf>
    <xf numFmtId="0" fontId="58" fillId="5" borderId="1" xfId="0" applyFont="1" applyFill="1" applyBorder="1" applyAlignment="1">
      <alignment horizontal="left" vertical="center" wrapText="1"/>
    </xf>
    <xf numFmtId="0" fontId="69" fillId="0" borderId="12" xfId="0" applyFont="1" applyBorder="1" applyAlignment="1">
      <alignment horizontal="right" vertical="top" wrapText="1"/>
    </xf>
    <xf numFmtId="0" fontId="58" fillId="0" borderId="1" xfId="0" applyFont="1" applyBorder="1" applyAlignment="1">
      <alignment horizontal="left" vertical="center" wrapText="1"/>
    </xf>
    <xf numFmtId="0" fontId="70" fillId="0" borderId="1" xfId="0" applyFont="1" applyBorder="1" applyAlignment="1">
      <alignment horizontal="left" vertical="center" wrapText="1"/>
    </xf>
    <xf numFmtId="0" fontId="70" fillId="0" borderId="1" xfId="0" applyFont="1" applyBorder="1" applyAlignment="1">
      <alignment horizontal="left" vertical="center"/>
    </xf>
    <xf numFmtId="0" fontId="58" fillId="23" borderId="1" xfId="0" applyFont="1" applyFill="1" applyBorder="1" applyAlignment="1">
      <alignment horizontal="left" vertical="center" shrinkToFit="1"/>
    </xf>
    <xf numFmtId="0" fontId="58" fillId="25" borderId="1" xfId="0" applyFont="1" applyFill="1" applyBorder="1" applyAlignment="1">
      <alignment horizontal="left" vertical="center"/>
    </xf>
    <xf numFmtId="0" fontId="58" fillId="25" borderId="1" xfId="0" applyFont="1" applyFill="1" applyBorder="1" applyAlignment="1">
      <alignment horizontal="center" vertical="center"/>
    </xf>
    <xf numFmtId="0" fontId="73" fillId="0" borderId="0" xfId="0" applyFont="1" applyAlignment="1">
      <alignment horizontal="left" vertical="center"/>
    </xf>
    <xf numFmtId="0" fontId="73" fillId="0" borderId="15" xfId="0" applyFont="1" applyBorder="1" applyAlignment="1">
      <alignment horizontal="left" vertical="center"/>
    </xf>
    <xf numFmtId="0" fontId="58" fillId="25" borderId="3" xfId="0" applyFont="1" applyFill="1" applyBorder="1" applyAlignment="1">
      <alignment horizontal="left" vertical="center"/>
    </xf>
    <xf numFmtId="0" fontId="58" fillId="25" borderId="4" xfId="0" applyFont="1" applyFill="1" applyBorder="1" applyAlignment="1">
      <alignment horizontal="left" vertical="center"/>
    </xf>
    <xf numFmtId="0" fontId="58" fillId="25" borderId="2" xfId="0" applyFont="1" applyFill="1" applyBorder="1" applyAlignment="1">
      <alignment horizontal="left" vertical="center"/>
    </xf>
    <xf numFmtId="0" fontId="73" fillId="25" borderId="3" xfId="0" applyFont="1" applyFill="1" applyBorder="1" applyAlignment="1">
      <alignment horizontal="center" vertical="center"/>
    </xf>
    <xf numFmtId="0" fontId="73" fillId="25" borderId="2" xfId="0" applyFont="1" applyFill="1" applyBorder="1" applyAlignment="1">
      <alignment horizontal="center" vertical="center"/>
    </xf>
    <xf numFmtId="0" fontId="70" fillId="0" borderId="3" xfId="0" applyFont="1" applyBorder="1" applyAlignment="1">
      <alignment horizontal="left" vertical="center"/>
    </xf>
    <xf numFmtId="0" fontId="70" fillId="0" borderId="4" xfId="0" applyFont="1" applyBorder="1" applyAlignment="1">
      <alignment horizontal="left" vertical="center"/>
    </xf>
    <xf numFmtId="0" fontId="70" fillId="0" borderId="2" xfId="0" applyFont="1" applyBorder="1" applyAlignment="1">
      <alignment horizontal="left" vertical="center"/>
    </xf>
    <xf numFmtId="0" fontId="70" fillId="5" borderId="1" xfId="0" applyFont="1" applyFill="1" applyBorder="1" applyAlignment="1">
      <alignment horizontal="left" vertical="center"/>
    </xf>
    <xf numFmtId="0" fontId="69" fillId="5" borderId="1" xfId="0" applyFont="1" applyFill="1" applyBorder="1" applyAlignment="1">
      <alignment horizontal="left" vertical="center" wrapText="1"/>
    </xf>
    <xf numFmtId="191" fontId="70" fillId="5" borderId="3" xfId="0" applyNumberFormat="1" applyFont="1" applyFill="1" applyBorder="1" applyAlignment="1">
      <alignment horizontal="right" vertical="center"/>
    </xf>
    <xf numFmtId="191" fontId="70" fillId="5" borderId="2" xfId="0" applyNumberFormat="1" applyFont="1" applyFill="1" applyBorder="1" applyAlignment="1">
      <alignment horizontal="right" vertical="center"/>
    </xf>
    <xf numFmtId="0" fontId="73" fillId="0" borderId="4" xfId="0" applyFont="1" applyBorder="1" applyAlignment="1">
      <alignment horizontal="right" vertical="top" wrapText="1"/>
    </xf>
    <xf numFmtId="0" fontId="73" fillId="0" borderId="12" xfId="0" applyFont="1" applyBorder="1" applyAlignment="1">
      <alignment horizontal="right" vertical="top" wrapText="1"/>
    </xf>
    <xf numFmtId="0" fontId="58" fillId="0" borderId="8" xfId="0" applyFont="1" applyBorder="1" applyAlignment="1">
      <alignment horizontal="left" vertical="center" wrapText="1"/>
    </xf>
    <xf numFmtId="0" fontId="58" fillId="0" borderId="12" xfId="0" applyFont="1" applyBorder="1" applyAlignment="1">
      <alignment horizontal="left" vertical="center" wrapText="1"/>
    </xf>
    <xf numFmtId="0" fontId="58" fillId="0" borderId="11" xfId="0" applyFont="1" applyBorder="1" applyAlignment="1">
      <alignment horizontal="left" vertical="center" wrapText="1"/>
    </xf>
    <xf numFmtId="0" fontId="58" fillId="0" borderId="9" xfId="0" applyFont="1" applyBorder="1" applyAlignment="1">
      <alignment horizontal="left" vertical="center" wrapText="1"/>
    </xf>
    <xf numFmtId="0" fontId="58" fillId="0" borderId="15" xfId="0" applyFont="1" applyBorder="1" applyAlignment="1">
      <alignment horizontal="left" vertical="center" wrapText="1"/>
    </xf>
    <xf numFmtId="0" fontId="58" fillId="0" borderId="10" xfId="0" applyFont="1" applyBorder="1" applyAlignment="1">
      <alignment horizontal="left" vertical="center" wrapText="1"/>
    </xf>
    <xf numFmtId="0" fontId="58" fillId="5" borderId="1" xfId="0" applyFont="1" applyFill="1" applyBorder="1" applyAlignment="1">
      <alignment horizontal="center" vertical="center" wrapText="1"/>
    </xf>
    <xf numFmtId="0" fontId="69" fillId="5" borderId="1" xfId="0" applyFont="1" applyFill="1" applyBorder="1" applyAlignment="1">
      <alignment horizontal="left" vertical="center"/>
    </xf>
    <xf numFmtId="0" fontId="53" fillId="3" borderId="0" xfId="0" applyFont="1" applyFill="1" applyAlignment="1">
      <alignment horizontal="center" vertical="center"/>
    </xf>
    <xf numFmtId="178" fontId="49" fillId="3" borderId="47" xfId="0" applyNumberFormat="1" applyFont="1" applyFill="1" applyBorder="1" applyAlignment="1">
      <alignment horizontal="center" vertical="center"/>
    </xf>
    <xf numFmtId="178" fontId="49" fillId="3" borderId="48" xfId="0" applyNumberFormat="1" applyFont="1" applyFill="1" applyBorder="1" applyAlignment="1">
      <alignment horizontal="center" vertical="center"/>
    </xf>
    <xf numFmtId="0" fontId="40" fillId="4" borderId="3" xfId="0" applyFont="1" applyFill="1" applyBorder="1" applyAlignment="1">
      <alignment horizontal="center" vertical="center"/>
    </xf>
    <xf numFmtId="0" fontId="40" fillId="4" borderId="2" xfId="0" applyFont="1" applyFill="1" applyBorder="1" applyAlignment="1">
      <alignment horizontal="center" vertical="center"/>
    </xf>
    <xf numFmtId="0" fontId="42" fillId="4" borderId="5" xfId="0" applyFont="1" applyFill="1" applyBorder="1" applyAlignment="1">
      <alignment horizontal="center" vertical="center" shrinkToFit="1"/>
    </xf>
    <xf numFmtId="0" fontId="42" fillId="4" borderId="6" xfId="0" applyFont="1" applyFill="1" applyBorder="1" applyAlignment="1">
      <alignment horizontal="center" vertical="center" shrinkToFit="1"/>
    </xf>
    <xf numFmtId="0" fontId="42" fillId="4" borderId="7" xfId="0" applyFont="1" applyFill="1" applyBorder="1" applyAlignment="1">
      <alignment horizontal="center" vertical="center" shrinkToFit="1"/>
    </xf>
    <xf numFmtId="0" fontId="42" fillId="20" borderId="1" xfId="0" applyFont="1" applyFill="1" applyBorder="1" applyAlignment="1">
      <alignment horizontal="center" vertical="center" shrinkToFit="1"/>
    </xf>
    <xf numFmtId="184" fontId="49" fillId="3" borderId="65" xfId="0" applyNumberFormat="1" applyFont="1" applyFill="1" applyBorder="1" applyAlignment="1">
      <alignment vertical="center" shrinkToFit="1"/>
    </xf>
    <xf numFmtId="184" fontId="49" fillId="3" borderId="66" xfId="0" applyNumberFormat="1" applyFont="1" applyFill="1" applyBorder="1" applyAlignment="1">
      <alignment vertical="center" shrinkToFit="1"/>
    </xf>
    <xf numFmtId="0" fontId="49" fillId="3" borderId="66" xfId="0" applyFont="1" applyFill="1" applyBorder="1" applyAlignment="1">
      <alignment horizontal="left" vertical="center" indent="1"/>
    </xf>
    <xf numFmtId="0" fontId="49" fillId="3" borderId="67" xfId="0" applyFont="1" applyFill="1" applyBorder="1" applyAlignment="1">
      <alignment horizontal="left" vertical="center" indent="1"/>
    </xf>
    <xf numFmtId="184" fontId="49" fillId="3" borderId="68" xfId="0" applyNumberFormat="1" applyFont="1" applyFill="1" applyBorder="1" applyAlignment="1">
      <alignment vertical="center" shrinkToFit="1"/>
    </xf>
    <xf numFmtId="0" fontId="59" fillId="3" borderId="0" xfId="0" applyFont="1" applyFill="1" applyAlignment="1">
      <alignment horizontal="center" vertical="center"/>
    </xf>
    <xf numFmtId="0" fontId="52" fillId="3" borderId="0" xfId="0" applyFont="1" applyFill="1" applyAlignment="1">
      <alignment horizontal="center" vertical="center"/>
    </xf>
    <xf numFmtId="0" fontId="46" fillId="4" borderId="43" xfId="0" applyFont="1" applyFill="1" applyBorder="1" applyAlignment="1">
      <alignment horizontal="center" vertical="center"/>
    </xf>
    <xf numFmtId="0" fontId="46" fillId="4" borderId="44" xfId="0" applyFont="1" applyFill="1" applyBorder="1" applyAlignment="1">
      <alignment horizontal="center" vertical="center"/>
    </xf>
    <xf numFmtId="203" fontId="59" fillId="3" borderId="0" xfId="0" applyNumberFormat="1" applyFont="1" applyFill="1" applyAlignment="1">
      <alignment horizontal="center"/>
    </xf>
    <xf numFmtId="203" fontId="60" fillId="3" borderId="0" xfId="0" applyNumberFormat="1" applyFont="1" applyFill="1" applyAlignment="1">
      <alignment horizontal="center"/>
    </xf>
    <xf numFmtId="0" fontId="46" fillId="4" borderId="36" xfId="0" applyFont="1" applyFill="1" applyBorder="1" applyAlignment="1">
      <alignment horizontal="right" vertical="center"/>
    </xf>
    <xf numFmtId="0" fontId="46" fillId="4" borderId="37" xfId="0" applyFont="1" applyFill="1" applyBorder="1" applyAlignment="1">
      <alignment horizontal="right" vertical="center"/>
    </xf>
    <xf numFmtId="0" fontId="46" fillId="4" borderId="37" xfId="0" applyFont="1" applyFill="1" applyBorder="1" applyAlignment="1">
      <alignment horizontal="left" vertical="center"/>
    </xf>
    <xf numFmtId="0" fontId="46" fillId="4" borderId="64" xfId="0" applyFont="1" applyFill="1" applyBorder="1" applyAlignment="1">
      <alignment horizontal="left" vertical="center"/>
    </xf>
    <xf numFmtId="0" fontId="70" fillId="0" borderId="83" xfId="0" applyFont="1" applyBorder="1" applyAlignment="1">
      <alignment horizontal="left" vertical="center"/>
    </xf>
    <xf numFmtId="0" fontId="70" fillId="0" borderId="82" xfId="0" applyFont="1" applyBorder="1" applyAlignment="1">
      <alignment horizontal="left" vertical="center"/>
    </xf>
    <xf numFmtId="0" fontId="70" fillId="0" borderId="80" xfId="0" applyFont="1" applyBorder="1" applyAlignment="1">
      <alignment horizontal="left" vertical="center"/>
    </xf>
    <xf numFmtId="0" fontId="70" fillId="0" borderId="79" xfId="0" applyFont="1" applyBorder="1" applyAlignment="1">
      <alignment horizontal="left" vertical="center"/>
    </xf>
    <xf numFmtId="0" fontId="58" fillId="3" borderId="13" xfId="0" applyFont="1" applyFill="1" applyBorder="1" applyAlignment="1">
      <alignment horizontal="left" vertical="top"/>
    </xf>
    <xf numFmtId="0" fontId="58" fillId="3" borderId="0" xfId="0" applyFont="1" applyFill="1" applyBorder="1" applyAlignment="1">
      <alignment horizontal="left" vertical="top"/>
    </xf>
    <xf numFmtId="0" fontId="58" fillId="3" borderId="14" xfId="0" applyFont="1" applyFill="1" applyBorder="1" applyAlignment="1">
      <alignment horizontal="left" vertical="top"/>
    </xf>
    <xf numFmtId="0" fontId="58" fillId="3" borderId="9" xfId="0" applyFont="1" applyFill="1" applyBorder="1" applyAlignment="1">
      <alignment horizontal="left" vertical="top"/>
    </xf>
    <xf numFmtId="0" fontId="58" fillId="3" borderId="15" xfId="0" applyFont="1" applyFill="1" applyBorder="1" applyAlignment="1">
      <alignment horizontal="left" vertical="top"/>
    </xf>
    <xf numFmtId="0" fontId="58" fillId="3" borderId="10" xfId="0" applyFont="1" applyFill="1" applyBorder="1" applyAlignment="1">
      <alignment horizontal="left" vertical="top"/>
    </xf>
    <xf numFmtId="0" fontId="70" fillId="0" borderId="85" xfId="0" applyFont="1" applyBorder="1" applyAlignment="1">
      <alignment horizontal="left" vertical="center"/>
    </xf>
    <xf numFmtId="0" fontId="70" fillId="0" borderId="94" xfId="0" applyFont="1" applyBorder="1" applyAlignment="1">
      <alignment horizontal="left" vertical="center"/>
    </xf>
    <xf numFmtId="0" fontId="70" fillId="0" borderId="93" xfId="0" applyFont="1" applyBorder="1" applyAlignment="1">
      <alignment horizontal="left" vertical="center"/>
    </xf>
    <xf numFmtId="0" fontId="70" fillId="0" borderId="83" xfId="0" applyFont="1" applyBorder="1" applyAlignment="1">
      <alignment horizontal="left" vertical="center" wrapText="1"/>
    </xf>
    <xf numFmtId="0" fontId="70" fillId="0" borderId="82" xfId="0" applyFont="1" applyBorder="1" applyAlignment="1">
      <alignment horizontal="left" vertical="center" wrapText="1"/>
    </xf>
    <xf numFmtId="0" fontId="70" fillId="0" borderId="101" xfId="0" applyFont="1" applyBorder="1" applyAlignment="1">
      <alignment horizontal="left" vertical="center"/>
    </xf>
    <xf numFmtId="0" fontId="70" fillId="0" borderId="100" xfId="0" applyFont="1" applyBorder="1" applyAlignment="1">
      <alignment horizontal="left" vertical="center"/>
    </xf>
    <xf numFmtId="0" fontId="58" fillId="25" borderId="8" xfId="0" applyFont="1" applyFill="1" applyBorder="1" applyAlignment="1">
      <alignment horizontal="left" vertical="center"/>
    </xf>
    <xf numFmtId="0" fontId="58" fillId="25" borderId="12" xfId="0" applyFont="1" applyFill="1" applyBorder="1" applyAlignment="1">
      <alignment horizontal="left" vertical="center"/>
    </xf>
    <xf numFmtId="0" fontId="58" fillId="25" borderId="11" xfId="0" applyFont="1" applyFill="1" applyBorder="1" applyAlignment="1">
      <alignment horizontal="left" vertical="center"/>
    </xf>
    <xf numFmtId="0" fontId="58" fillId="0" borderId="8" xfId="0" applyFont="1" applyBorder="1" applyAlignment="1">
      <alignment horizontal="left" vertical="top"/>
    </xf>
    <xf numFmtId="0" fontId="58" fillId="0" borderId="12" xfId="0" applyFont="1" applyBorder="1" applyAlignment="1">
      <alignment horizontal="left" vertical="top"/>
    </xf>
    <xf numFmtId="0" fontId="58" fillId="0" borderId="11" xfId="0" applyFont="1" applyBorder="1" applyAlignment="1">
      <alignment horizontal="left" vertical="top"/>
    </xf>
    <xf numFmtId="0" fontId="58" fillId="0" borderId="13" xfId="0" applyFont="1" applyBorder="1" applyAlignment="1">
      <alignment horizontal="left" vertical="top"/>
    </xf>
    <xf numFmtId="0" fontId="58" fillId="0" borderId="0" xfId="0" applyFont="1" applyAlignment="1">
      <alignment horizontal="left" vertical="top"/>
    </xf>
    <xf numFmtId="0" fontId="58" fillId="0" borderId="14" xfId="0" applyFont="1" applyBorder="1" applyAlignment="1">
      <alignment horizontal="left" vertical="top"/>
    </xf>
    <xf numFmtId="0" fontId="58" fillId="0" borderId="9" xfId="0" applyFont="1" applyBorder="1" applyAlignment="1">
      <alignment horizontal="left" vertical="top"/>
    </xf>
    <xf numFmtId="0" fontId="58" fillId="0" borderId="15" xfId="0" applyFont="1" applyBorder="1" applyAlignment="1">
      <alignment horizontal="left" vertical="top"/>
    </xf>
    <xf numFmtId="0" fontId="58" fillId="0" borderId="10" xfId="0" applyFont="1" applyBorder="1" applyAlignment="1">
      <alignment horizontal="left" vertical="top"/>
    </xf>
    <xf numFmtId="0" fontId="70" fillId="0" borderId="87" xfId="0" applyFont="1" applyBorder="1" applyAlignment="1">
      <alignment horizontal="left" vertical="center"/>
    </xf>
    <xf numFmtId="0" fontId="70" fillId="0" borderId="86" xfId="0" applyFont="1" applyBorder="1" applyAlignment="1">
      <alignment horizontal="left" vertical="center"/>
    </xf>
    <xf numFmtId="0" fontId="58" fillId="25" borderId="91" xfId="0" applyFont="1" applyFill="1" applyBorder="1" applyAlignment="1">
      <alignment horizontal="left" vertical="center"/>
    </xf>
    <xf numFmtId="0" fontId="58" fillId="25" borderId="90" xfId="0" applyFont="1" applyFill="1" applyBorder="1" applyAlignment="1">
      <alignment horizontal="left" vertical="center"/>
    </xf>
    <xf numFmtId="0" fontId="58" fillId="25" borderId="89" xfId="0" applyFont="1" applyFill="1" applyBorder="1" applyAlignment="1">
      <alignment horizontal="left" vertical="center"/>
    </xf>
    <xf numFmtId="0" fontId="58" fillId="25" borderId="98" xfId="0" applyFont="1" applyFill="1" applyBorder="1" applyAlignment="1">
      <alignment horizontal="left" vertical="center"/>
    </xf>
    <xf numFmtId="0" fontId="58" fillId="25" borderId="97" xfId="0" applyFont="1" applyFill="1" applyBorder="1" applyAlignment="1">
      <alignment horizontal="left" vertical="center"/>
    </xf>
    <xf numFmtId="0" fontId="58" fillId="25" borderId="96" xfId="0" applyFont="1" applyFill="1" applyBorder="1" applyAlignment="1">
      <alignment horizontal="left" vertical="center"/>
    </xf>
    <xf numFmtId="0" fontId="71" fillId="0" borderId="83" xfId="0" applyFont="1" applyBorder="1" applyAlignment="1">
      <alignment horizontal="left" vertical="center" wrapText="1"/>
    </xf>
    <xf numFmtId="0" fontId="71" fillId="0" borderId="82" xfId="0" applyFont="1" applyBorder="1" applyAlignment="1">
      <alignment horizontal="left" vertical="center" wrapText="1"/>
    </xf>
    <xf numFmtId="0" fontId="71" fillId="0" borderId="83" xfId="0" applyFont="1" applyBorder="1" applyAlignment="1">
      <alignment horizontal="left" vertical="center"/>
    </xf>
    <xf numFmtId="0" fontId="71" fillId="0" borderId="82" xfId="0" applyFont="1" applyBorder="1" applyAlignment="1">
      <alignment horizontal="left" vertical="center"/>
    </xf>
    <xf numFmtId="0" fontId="71" fillId="0" borderId="94" xfId="0" applyFont="1" applyBorder="1" applyAlignment="1">
      <alignment horizontal="left" vertical="center"/>
    </xf>
    <xf numFmtId="0" fontId="71" fillId="0" borderId="93" xfId="0" applyFont="1" applyBorder="1" applyAlignment="1">
      <alignment horizontal="left" vertical="center"/>
    </xf>
    <xf numFmtId="0" fontId="71" fillId="0" borderId="87" xfId="0" applyFont="1" applyBorder="1" applyAlignment="1">
      <alignment horizontal="left" vertical="center" wrapText="1"/>
    </xf>
    <xf numFmtId="0" fontId="71" fillId="0" borderId="86" xfId="0" applyFont="1" applyBorder="1" applyAlignment="1">
      <alignment horizontal="left" vertical="center" wrapText="1"/>
    </xf>
    <xf numFmtId="0" fontId="71" fillId="0" borderId="80" xfId="0" applyFont="1" applyBorder="1" applyAlignment="1">
      <alignment horizontal="left" vertical="center" wrapText="1"/>
    </xf>
    <xf numFmtId="0" fontId="71" fillId="0" borderId="79" xfId="0" applyFont="1" applyBorder="1" applyAlignment="1">
      <alignment horizontal="left" vertical="center" wrapText="1"/>
    </xf>
    <xf numFmtId="0" fontId="58" fillId="5" borderId="3" xfId="0" applyFont="1" applyFill="1" applyBorder="1" applyAlignment="1">
      <alignment horizontal="left" vertical="center"/>
    </xf>
    <xf numFmtId="0" fontId="58" fillId="5" borderId="4" xfId="0" applyFont="1" applyFill="1" applyBorder="1" applyAlignment="1">
      <alignment horizontal="left" vertical="center"/>
    </xf>
    <xf numFmtId="0" fontId="58" fillId="5" borderId="2" xfId="0" applyFont="1" applyFill="1" applyBorder="1" applyAlignment="1">
      <alignment horizontal="left" vertical="center"/>
    </xf>
    <xf numFmtId="0" fontId="58" fillId="5" borderId="98" xfId="0" applyFont="1" applyFill="1" applyBorder="1" applyAlignment="1">
      <alignment horizontal="left" vertical="center"/>
    </xf>
    <xf numFmtId="0" fontId="58" fillId="5" borderId="97" xfId="0" applyFont="1" applyFill="1" applyBorder="1" applyAlignment="1">
      <alignment horizontal="left" vertical="center"/>
    </xf>
    <xf numFmtId="0" fontId="58" fillId="5" borderId="105" xfId="0" applyFont="1" applyFill="1" applyBorder="1" applyAlignment="1">
      <alignment horizontal="left" vertical="center"/>
    </xf>
    <xf numFmtId="0" fontId="70" fillId="0" borderId="80" xfId="0" applyFont="1" applyBorder="1" applyAlignment="1">
      <alignment horizontal="left" vertical="center" wrapText="1"/>
    </xf>
    <xf numFmtId="0" fontId="70" fillId="0" borderId="79" xfId="0" applyFont="1" applyBorder="1" applyAlignment="1">
      <alignment horizontal="left" vertical="center" wrapText="1"/>
    </xf>
    <xf numFmtId="0" fontId="70" fillId="0" borderId="101" xfId="0" applyFont="1" applyBorder="1" applyAlignment="1">
      <alignment horizontal="left" vertical="center" wrapText="1"/>
    </xf>
    <xf numFmtId="0" fontId="70" fillId="0" borderId="100" xfId="0" applyFont="1" applyBorder="1" applyAlignment="1">
      <alignment horizontal="left" vertical="center" wrapText="1"/>
    </xf>
    <xf numFmtId="0" fontId="58" fillId="0" borderId="115" xfId="0" applyFont="1" applyBorder="1" applyAlignment="1">
      <alignment horizontal="center" vertical="top"/>
    </xf>
    <xf numFmtId="0" fontId="58" fillId="0" borderId="116" xfId="0" applyFont="1" applyBorder="1" applyAlignment="1">
      <alignment horizontal="center" vertical="top"/>
    </xf>
    <xf numFmtId="0" fontId="58" fillId="0" borderId="117" xfId="0" applyFont="1" applyBorder="1" applyAlignment="1">
      <alignment horizontal="center" vertical="top"/>
    </xf>
    <xf numFmtId="0" fontId="58" fillId="0" borderId="118" xfId="0" applyFont="1" applyBorder="1" applyAlignment="1">
      <alignment horizontal="center" vertical="top"/>
    </xf>
    <xf numFmtId="0" fontId="58" fillId="0" borderId="119" xfId="0" applyFont="1" applyBorder="1" applyAlignment="1">
      <alignment horizontal="center" vertical="top"/>
    </xf>
    <xf numFmtId="0" fontId="58" fillId="0" borderId="120" xfId="0" applyFont="1" applyBorder="1" applyAlignment="1">
      <alignment horizontal="center" vertical="top"/>
    </xf>
    <xf numFmtId="0" fontId="58" fillId="0" borderId="121" xfId="0" applyFont="1" applyBorder="1" applyAlignment="1">
      <alignment horizontal="center" vertical="top"/>
    </xf>
    <xf numFmtId="0" fontId="58" fillId="0" borderId="122" xfId="0" applyFont="1" applyBorder="1" applyAlignment="1">
      <alignment horizontal="center" vertical="top"/>
    </xf>
    <xf numFmtId="0" fontId="58" fillId="0" borderId="123" xfId="0" applyFont="1" applyBorder="1" applyAlignment="1">
      <alignment horizontal="center" vertical="top"/>
    </xf>
    <xf numFmtId="0" fontId="58" fillId="25" borderId="105" xfId="0" applyFont="1" applyFill="1" applyBorder="1" applyAlignment="1">
      <alignment horizontal="left" vertical="center"/>
    </xf>
    <xf numFmtId="0" fontId="58" fillId="25" borderId="112" xfId="0" applyFont="1" applyFill="1" applyBorder="1" applyAlignment="1">
      <alignment horizontal="left" vertical="center"/>
    </xf>
    <xf numFmtId="0" fontId="58" fillId="25" borderId="113" xfId="0" applyFont="1" applyFill="1" applyBorder="1" applyAlignment="1">
      <alignment horizontal="left" vertical="center"/>
    </xf>
    <xf numFmtId="0" fontId="58" fillId="25" borderId="114" xfId="0" applyFont="1" applyFill="1" applyBorder="1" applyAlignment="1">
      <alignment horizontal="left" vertical="center"/>
    </xf>
    <xf numFmtId="0" fontId="58" fillId="0" borderId="115" xfId="0" applyFont="1" applyBorder="1" applyAlignment="1">
      <alignment horizontal="left" vertical="top"/>
    </xf>
    <xf numFmtId="0" fontId="58" fillId="0" borderId="116" xfId="0" applyFont="1" applyBorder="1" applyAlignment="1">
      <alignment horizontal="left" vertical="top"/>
    </xf>
    <xf numFmtId="0" fontId="58" fillId="0" borderId="117" xfId="0" applyFont="1" applyBorder="1" applyAlignment="1">
      <alignment horizontal="left" vertical="top"/>
    </xf>
    <xf numFmtId="0" fontId="58" fillId="0" borderId="118" xfId="0" applyFont="1" applyBorder="1" applyAlignment="1">
      <alignment horizontal="left" vertical="top"/>
    </xf>
    <xf numFmtId="0" fontId="58" fillId="0" borderId="119" xfId="0" applyFont="1" applyBorder="1" applyAlignment="1">
      <alignment horizontal="left" vertical="top"/>
    </xf>
    <xf numFmtId="0" fontId="58" fillId="0" borderId="120" xfId="0" applyFont="1" applyBorder="1" applyAlignment="1">
      <alignment horizontal="left" vertical="top"/>
    </xf>
    <xf numFmtId="0" fontId="58" fillId="0" borderId="121" xfId="0" applyFont="1" applyBorder="1" applyAlignment="1">
      <alignment horizontal="left" vertical="top"/>
    </xf>
    <xf numFmtId="0" fontId="58" fillId="0" borderId="122" xfId="0" applyFont="1" applyBorder="1" applyAlignment="1">
      <alignment horizontal="left" vertical="top"/>
    </xf>
    <xf numFmtId="0" fontId="58" fillId="0" borderId="123" xfId="0" applyFont="1" applyBorder="1" applyAlignment="1">
      <alignment horizontal="left" vertical="top"/>
    </xf>
    <xf numFmtId="0" fontId="58" fillId="5" borderId="109" xfId="0" applyFont="1" applyFill="1" applyBorder="1" applyAlignment="1">
      <alignment horizontal="left" vertical="center"/>
    </xf>
    <xf numFmtId="0" fontId="58" fillId="5" borderId="110" xfId="0" applyFont="1" applyFill="1" applyBorder="1" applyAlignment="1">
      <alignment horizontal="left" vertical="center"/>
    </xf>
    <xf numFmtId="0" fontId="58" fillId="5" borderId="111" xfId="0" applyFont="1" applyFill="1" applyBorder="1" applyAlignment="1">
      <alignment horizontal="left" vertical="center"/>
    </xf>
    <xf numFmtId="0" fontId="70" fillId="0" borderId="156" xfId="0" applyFont="1" applyBorder="1" applyAlignment="1">
      <alignment horizontal="left" vertical="center"/>
    </xf>
    <xf numFmtId="0" fontId="70" fillId="0" borderId="83" xfId="0" applyFont="1" applyBorder="1" applyAlignment="1">
      <alignment vertical="center" wrapText="1"/>
    </xf>
    <xf numFmtId="0" fontId="70" fillId="0" borderId="82" xfId="0" applyFont="1" applyBorder="1" applyAlignment="1">
      <alignment vertical="center" wrapText="1"/>
    </xf>
    <xf numFmtId="0" fontId="70" fillId="0" borderId="80" xfId="0" applyFont="1" applyBorder="1" applyAlignment="1">
      <alignment vertical="center" wrapText="1"/>
    </xf>
    <xf numFmtId="0" fontId="70" fillId="0" borderId="79" xfId="0" applyFont="1" applyBorder="1" applyAlignment="1">
      <alignment vertical="center" wrapText="1"/>
    </xf>
    <xf numFmtId="0" fontId="70" fillId="0" borderId="101" xfId="0" applyFont="1" applyBorder="1" applyAlignment="1">
      <alignment vertical="center" wrapText="1"/>
    </xf>
    <xf numFmtId="0" fontId="70" fillId="0" borderId="100" xfId="0" applyFont="1" applyBorder="1" applyAlignment="1">
      <alignment vertical="center" wrapText="1"/>
    </xf>
    <xf numFmtId="0" fontId="70" fillId="0" borderId="94" xfId="0" applyFont="1" applyBorder="1" applyAlignment="1">
      <alignment vertical="center" wrapText="1"/>
    </xf>
    <xf numFmtId="0" fontId="70" fillId="0" borderId="93" xfId="0" applyFont="1" applyBorder="1" applyAlignment="1">
      <alignment vertical="center" wrapText="1"/>
    </xf>
    <xf numFmtId="0" fontId="71" fillId="0" borderId="85" xfId="0" applyFont="1" applyBorder="1" applyAlignment="1">
      <alignment horizontal="left" vertical="center" wrapText="1"/>
    </xf>
    <xf numFmtId="0" fontId="71" fillId="0" borderId="101" xfId="0" applyFont="1" applyBorder="1" applyAlignment="1">
      <alignment horizontal="left" vertical="center"/>
    </xf>
    <xf numFmtId="0" fontId="71" fillId="0" borderId="100" xfId="0" applyFont="1" applyBorder="1" applyAlignment="1">
      <alignment horizontal="left" vertical="center"/>
    </xf>
    <xf numFmtId="0" fontId="71" fillId="0" borderId="87" xfId="0" applyFont="1" applyBorder="1" applyAlignment="1">
      <alignment horizontal="left" vertical="center"/>
    </xf>
    <xf numFmtId="0" fontId="71" fillId="0" borderId="86" xfId="0" applyFont="1" applyBorder="1" applyAlignment="1">
      <alignment horizontal="left" vertical="center"/>
    </xf>
    <xf numFmtId="0" fontId="58" fillId="5" borderId="91" xfId="0" applyFont="1" applyFill="1" applyBorder="1" applyAlignment="1">
      <alignment horizontal="left" vertical="center"/>
    </xf>
    <xf numFmtId="0" fontId="58" fillId="5" borderId="90" xfId="0" applyFont="1" applyFill="1" applyBorder="1" applyAlignment="1">
      <alignment horizontal="left" vertical="center"/>
    </xf>
    <xf numFmtId="0" fontId="58" fillId="5" borderId="106" xfId="0" applyFont="1" applyFill="1" applyBorder="1" applyAlignment="1">
      <alignment horizontal="left" vertical="center"/>
    </xf>
    <xf numFmtId="0" fontId="96" fillId="26" borderId="0" xfId="4" applyFont="1" applyFill="1" applyAlignment="1">
      <alignment horizontal="center" vertical="center"/>
    </xf>
    <xf numFmtId="0" fontId="13" fillId="3" borderId="0" xfId="0" applyFont="1" applyFill="1" applyAlignment="1">
      <alignment horizontal="right" vertical="top" wrapText="1"/>
    </xf>
    <xf numFmtId="0" fontId="3" fillId="5" borderId="1" xfId="0" applyFont="1" applyFill="1" applyBorder="1" applyAlignment="1">
      <alignment horizontal="center" vertical="center"/>
    </xf>
    <xf numFmtId="0" fontId="3" fillId="5" borderId="5" xfId="0" applyFont="1" applyFill="1" applyBorder="1">
      <alignment vertical="center"/>
    </xf>
    <xf numFmtId="0" fontId="3" fillId="5" borderId="6" xfId="0" applyFont="1" applyFill="1" applyBorder="1">
      <alignment vertical="center"/>
    </xf>
    <xf numFmtId="0" fontId="3" fillId="5" borderId="7" xfId="0" applyFont="1" applyFill="1" applyBorder="1">
      <alignment vertical="center"/>
    </xf>
    <xf numFmtId="0" fontId="15" fillId="5" borderId="5" xfId="0" applyFont="1" applyFill="1" applyBorder="1" applyAlignment="1">
      <alignment horizontal="center" vertical="center"/>
    </xf>
    <xf numFmtId="0" fontId="15" fillId="5" borderId="7" xfId="0" applyFont="1" applyFill="1" applyBorder="1" applyAlignment="1">
      <alignment horizontal="center" vertical="center"/>
    </xf>
    <xf numFmtId="0" fontId="3" fillId="5" borderId="1" xfId="0" applyFont="1" applyFill="1" applyBorder="1">
      <alignment vertical="center"/>
    </xf>
    <xf numFmtId="0" fontId="15" fillId="5" borderId="1" xfId="0" applyFont="1" applyFill="1" applyBorder="1" applyAlignment="1">
      <alignment horizontal="center" vertical="center"/>
    </xf>
    <xf numFmtId="0" fontId="12" fillId="7" borderId="5" xfId="4" applyFont="1" applyFill="1" applyBorder="1" applyAlignment="1">
      <alignment horizontal="center" vertical="center" wrapText="1"/>
    </xf>
    <xf numFmtId="0" fontId="12" fillId="7" borderId="7" xfId="4" applyFont="1" applyFill="1" applyBorder="1" applyAlignment="1">
      <alignment horizontal="center" vertical="center" wrapText="1"/>
    </xf>
    <xf numFmtId="0" fontId="12" fillId="5" borderId="5" xfId="4" applyFont="1" applyFill="1" applyBorder="1" applyAlignment="1">
      <alignment horizontal="center" vertical="center"/>
    </xf>
    <xf numFmtId="0" fontId="12" fillId="5" borderId="6" xfId="4" applyFont="1" applyFill="1" applyBorder="1" applyAlignment="1">
      <alignment horizontal="center" vertical="center"/>
    </xf>
    <xf numFmtId="0" fontId="12" fillId="5" borderId="7" xfId="4" applyFont="1" applyFill="1" applyBorder="1" applyAlignment="1">
      <alignment horizontal="center" vertical="center"/>
    </xf>
    <xf numFmtId="0" fontId="32" fillId="8" borderId="38" xfId="4" applyFont="1" applyFill="1" applyBorder="1" applyAlignment="1">
      <alignment horizontal="center" vertical="center" shrinkToFit="1"/>
    </xf>
    <xf numFmtId="0" fontId="32" fillId="8" borderId="17" xfId="4" applyFont="1" applyFill="1" applyBorder="1" applyAlignment="1">
      <alignment horizontal="center" vertical="center" shrinkToFit="1"/>
    </xf>
    <xf numFmtId="180" fontId="12" fillId="0" borderId="5" xfId="0" applyNumberFormat="1" applyFont="1" applyBorder="1" applyAlignment="1">
      <alignment horizontal="right" vertical="center"/>
    </xf>
    <xf numFmtId="180" fontId="12" fillId="0" borderId="6" xfId="0" applyNumberFormat="1" applyFont="1" applyBorder="1" applyAlignment="1">
      <alignment horizontal="right" vertical="center"/>
    </xf>
    <xf numFmtId="180" fontId="12" fillId="0" borderId="7" xfId="0" applyNumberFormat="1" applyFont="1" applyBorder="1" applyAlignment="1">
      <alignment horizontal="right"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8" borderId="7" xfId="0" applyFont="1" applyFill="1" applyBorder="1" applyAlignment="1">
      <alignment horizontal="center" vertical="center"/>
    </xf>
    <xf numFmtId="0" fontId="12" fillId="3" borderId="136" xfId="0" applyFont="1" applyFill="1" applyBorder="1" applyAlignment="1">
      <alignment horizontal="center" vertical="center" shrinkToFit="1"/>
    </xf>
    <xf numFmtId="0" fontId="12" fillId="3" borderId="137" xfId="0" applyFont="1" applyFill="1" applyBorder="1" applyAlignment="1">
      <alignment horizontal="center" vertical="center" shrinkToFit="1"/>
    </xf>
    <xf numFmtId="0" fontId="12" fillId="3" borderId="45" xfId="0" applyFont="1" applyFill="1" applyBorder="1" applyAlignment="1">
      <alignment horizontal="center" vertical="center" shrinkToFit="1"/>
    </xf>
    <xf numFmtId="0" fontId="12" fillId="5" borderId="1" xfId="4" applyFont="1" applyFill="1" applyBorder="1" applyAlignment="1">
      <alignment horizontal="center" vertical="center"/>
    </xf>
    <xf numFmtId="0" fontId="12" fillId="8" borderId="3" xfId="0" applyFont="1" applyFill="1" applyBorder="1" applyAlignment="1">
      <alignment horizontal="center" vertical="center"/>
    </xf>
    <xf numFmtId="0" fontId="12" fillId="8" borderId="2" xfId="0" applyFont="1" applyFill="1" applyBorder="1" applyAlignment="1">
      <alignment horizontal="center" vertical="center"/>
    </xf>
    <xf numFmtId="0" fontId="84" fillId="8" borderId="5" xfId="0" applyFont="1" applyFill="1" applyBorder="1" applyAlignment="1">
      <alignment horizontal="center" vertical="center" wrapText="1" shrinkToFit="1"/>
    </xf>
    <xf numFmtId="0" fontId="84" fillId="8" borderId="7" xfId="0" applyFont="1" applyFill="1" applyBorder="1" applyAlignment="1">
      <alignment horizontal="center" vertical="center" wrapText="1" shrinkToFi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2" fillId="8" borderId="3" xfId="0" applyFont="1" applyFill="1" applyBorder="1" applyAlignment="1">
      <alignment horizontal="center" vertical="center" wrapText="1" shrinkToFit="1"/>
    </xf>
    <xf numFmtId="0" fontId="12" fillId="8" borderId="2" xfId="0" applyFont="1" applyFill="1" applyBorder="1" applyAlignment="1">
      <alignment horizontal="center" vertical="center" wrapText="1" shrinkToFit="1"/>
    </xf>
    <xf numFmtId="0" fontId="12" fillId="8" borderId="8" xfId="0" applyFont="1" applyFill="1" applyBorder="1" applyAlignment="1">
      <alignment horizontal="center" vertical="center"/>
    </xf>
    <xf numFmtId="0" fontId="12" fillId="8" borderId="11"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7" xfId="0" applyFont="1" applyFill="1" applyBorder="1" applyAlignment="1">
      <alignment horizontal="center" vertical="center" wrapText="1"/>
    </xf>
    <xf numFmtId="0" fontId="12" fillId="8" borderId="4" xfId="0" applyFont="1" applyFill="1" applyBorder="1" applyAlignment="1">
      <alignment horizontal="center" vertical="center"/>
    </xf>
    <xf numFmtId="0" fontId="12" fillId="8" borderId="13" xfId="0" applyFont="1" applyFill="1" applyBorder="1" applyAlignment="1">
      <alignment horizontal="center" vertical="center"/>
    </xf>
    <xf numFmtId="0" fontId="12" fillId="8" borderId="9"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5" xfId="0" applyFont="1" applyFill="1" applyBorder="1" applyAlignment="1">
      <alignment horizontal="center" vertical="center" wrapText="1" shrinkToFit="1"/>
    </xf>
    <xf numFmtId="0" fontId="12" fillId="8" borderId="7" xfId="0" applyFont="1" applyFill="1" applyBorder="1" applyAlignment="1">
      <alignment horizontal="center" vertical="center" shrinkToFit="1"/>
    </xf>
    <xf numFmtId="0" fontId="3" fillId="5" borderId="5" xfId="4" applyFont="1" applyFill="1" applyBorder="1" applyAlignment="1">
      <alignment horizontal="center" vertical="center"/>
    </xf>
    <xf numFmtId="0" fontId="3" fillId="5" borderId="7" xfId="4" applyFont="1" applyFill="1" applyBorder="1" applyAlignment="1">
      <alignment horizontal="center" vertical="center"/>
    </xf>
    <xf numFmtId="0" fontId="44" fillId="22" borderId="1" xfId="0" applyFont="1" applyFill="1" applyBorder="1" applyAlignment="1">
      <alignment horizontal="center" vertical="center"/>
    </xf>
    <xf numFmtId="0" fontId="3" fillId="5" borderId="5" xfId="4" applyFont="1" applyFill="1" applyBorder="1" applyAlignment="1">
      <alignment horizontal="center" vertical="center" wrapText="1"/>
    </xf>
    <xf numFmtId="0" fontId="3" fillId="5" borderId="7" xfId="4" applyFont="1" applyFill="1" applyBorder="1" applyAlignment="1">
      <alignment horizontal="center" vertical="center" wrapText="1"/>
    </xf>
    <xf numFmtId="0" fontId="3" fillId="5" borderId="3" xfId="4" applyFont="1" applyFill="1" applyBorder="1" applyAlignment="1">
      <alignment horizontal="center" vertical="center" wrapText="1"/>
    </xf>
    <xf numFmtId="0" fontId="3" fillId="5" borderId="2" xfId="4" applyFont="1" applyFill="1" applyBorder="1" applyAlignment="1">
      <alignment horizontal="center" vertical="center" wrapText="1"/>
    </xf>
    <xf numFmtId="0" fontId="3" fillId="7" borderId="3" xfId="4" applyFont="1" applyFill="1" applyBorder="1" applyAlignment="1">
      <alignment horizontal="center" vertical="center" wrapText="1"/>
    </xf>
    <xf numFmtId="0" fontId="3" fillId="7" borderId="2" xfId="4" applyFont="1" applyFill="1" applyBorder="1" applyAlignment="1">
      <alignment horizontal="center" vertical="center" wrapText="1"/>
    </xf>
    <xf numFmtId="0" fontId="3" fillId="5" borderId="3" xfId="4" applyFont="1" applyFill="1" applyBorder="1" applyAlignment="1">
      <alignment horizontal="center" vertical="center"/>
    </xf>
    <xf numFmtId="0" fontId="3" fillId="5" borderId="2" xfId="4" applyFont="1" applyFill="1" applyBorder="1" applyAlignment="1">
      <alignment horizontal="center" vertical="center"/>
    </xf>
    <xf numFmtId="0" fontId="3" fillId="7" borderId="3" xfId="4" applyFont="1" applyFill="1" applyBorder="1" applyAlignment="1">
      <alignment horizontal="center" vertical="center"/>
    </xf>
    <xf numFmtId="0" fontId="3" fillId="7" borderId="2" xfId="4" applyFont="1" applyFill="1" applyBorder="1" applyAlignment="1">
      <alignment horizontal="center" vertical="center"/>
    </xf>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7" fillId="0" borderId="3" xfId="4" applyFont="1" applyBorder="1" applyAlignment="1">
      <alignment horizontal="center" vertical="center" shrinkToFit="1"/>
    </xf>
    <xf numFmtId="0" fontId="7" fillId="0" borderId="2" xfId="4" applyFont="1" applyBorder="1" applyAlignment="1">
      <alignment horizontal="center" vertical="center" shrinkToFit="1"/>
    </xf>
    <xf numFmtId="0" fontId="3" fillId="3" borderId="6" xfId="0" applyFont="1" applyFill="1" applyBorder="1" applyAlignment="1">
      <alignment horizontal="center" vertical="center"/>
    </xf>
    <xf numFmtId="9" fontId="3" fillId="3" borderId="29" xfId="7" applyFont="1" applyFill="1" applyBorder="1" applyAlignment="1">
      <alignment horizontal="center" vertical="center"/>
    </xf>
    <xf numFmtId="9" fontId="3" fillId="3" borderId="32" xfId="7" applyFont="1" applyFill="1" applyBorder="1" applyAlignment="1">
      <alignment horizontal="center" vertical="center"/>
    </xf>
    <xf numFmtId="9" fontId="3" fillId="3" borderId="33" xfId="7" applyFont="1" applyFill="1" applyBorder="1" applyAlignment="1">
      <alignment horizontal="center" vertical="center"/>
    </xf>
    <xf numFmtId="9" fontId="3" fillId="3" borderId="6" xfId="7" applyFont="1" applyFill="1" applyBorder="1" applyAlignment="1">
      <alignment horizontal="center" vertical="center"/>
    </xf>
    <xf numFmtId="9" fontId="3" fillId="3" borderId="7" xfId="7" applyFont="1" applyFill="1" applyBorder="1" applyAlignment="1">
      <alignment horizontal="center" vertical="center"/>
    </xf>
    <xf numFmtId="9" fontId="3" fillId="3" borderId="5" xfId="7" applyFont="1" applyFill="1" applyBorder="1" applyAlignment="1">
      <alignment horizontal="center" vertical="center" wrapText="1"/>
    </xf>
    <xf numFmtId="9" fontId="3" fillId="3" borderId="6" xfId="7" applyFont="1" applyFill="1" applyBorder="1" applyAlignment="1">
      <alignment horizontal="center" vertical="center" wrapText="1"/>
    </xf>
    <xf numFmtId="9" fontId="3" fillId="3" borderId="7" xfId="7"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2" xfId="0" applyFont="1" applyFill="1" applyBorder="1" applyAlignment="1">
      <alignment horizontal="center" vertical="center"/>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32" xfId="0" applyFont="1" applyFill="1" applyBorder="1" applyAlignment="1">
      <alignment horizontal="center" vertical="center"/>
    </xf>
    <xf numFmtId="0" fontId="3" fillId="3" borderId="33" xfId="0" applyFont="1" applyFill="1" applyBorder="1" applyAlignment="1">
      <alignment horizontal="center" vertical="center"/>
    </xf>
    <xf numFmtId="0" fontId="44" fillId="22" borderId="3" xfId="0" applyFont="1" applyFill="1" applyBorder="1" applyAlignment="1">
      <alignment horizontal="center" vertical="center"/>
    </xf>
    <xf numFmtId="0" fontId="44" fillId="22" borderId="4" xfId="0" applyFont="1" applyFill="1" applyBorder="1" applyAlignment="1">
      <alignment horizontal="center" vertical="center"/>
    </xf>
    <xf numFmtId="0" fontId="44" fillId="22" borderId="2" xfId="0" applyFont="1" applyFill="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3" fillId="3" borderId="2" xfId="0" applyFont="1" applyFill="1" applyBorder="1">
      <alignment vertical="center"/>
    </xf>
    <xf numFmtId="0" fontId="36" fillId="8" borderId="5" xfId="0" applyFont="1" applyFill="1" applyBorder="1" applyAlignment="1">
      <alignment horizontal="center" vertical="center" wrapText="1"/>
    </xf>
    <xf numFmtId="0" fontId="36" fillId="8" borderId="7"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5" borderId="1" xfId="0" applyFont="1" applyFill="1" applyBorder="1" applyAlignment="1">
      <alignment horizontal="center" vertical="center" wrapText="1"/>
    </xf>
    <xf numFmtId="0" fontId="0" fillId="0" borderId="4" xfId="0" applyBorder="1">
      <alignment vertical="center"/>
    </xf>
    <xf numFmtId="0" fontId="0" fillId="0" borderId="2" xfId="0" applyBorder="1">
      <alignment vertical="center"/>
    </xf>
    <xf numFmtId="0" fontId="12" fillId="3" borderId="57" xfId="0" applyFont="1" applyFill="1" applyBorder="1">
      <alignment vertical="center"/>
    </xf>
    <xf numFmtId="0" fontId="12" fillId="3" borderId="4" xfId="0" applyFont="1" applyFill="1" applyBorder="1">
      <alignment vertical="center"/>
    </xf>
    <xf numFmtId="0" fontId="12" fillId="3" borderId="2" xfId="0" applyFont="1" applyFill="1" applyBorder="1">
      <alignment vertical="center"/>
    </xf>
    <xf numFmtId="0" fontId="36" fillId="8" borderId="6" xfId="0" applyFont="1" applyFill="1" applyBorder="1" applyAlignment="1">
      <alignment horizontal="center" vertical="center" wrapText="1"/>
    </xf>
    <xf numFmtId="0" fontId="36" fillId="8" borderId="7" xfId="0" applyFont="1" applyFill="1" applyBorder="1" applyAlignment="1">
      <alignment horizontal="center" vertical="center"/>
    </xf>
    <xf numFmtId="183" fontId="3" fillId="2" borderId="5" xfId="0" applyNumberFormat="1" applyFont="1" applyFill="1" applyBorder="1" applyAlignment="1">
      <alignment horizontal="center" vertical="center"/>
    </xf>
    <xf numFmtId="183" fontId="3" fillId="2" borderId="6" xfId="0" applyNumberFormat="1" applyFont="1" applyFill="1" applyBorder="1" applyAlignment="1">
      <alignment horizontal="center" vertical="center"/>
    </xf>
    <xf numFmtId="183" fontId="3" fillId="2" borderId="7" xfId="0" applyNumberFormat="1" applyFont="1" applyFill="1" applyBorder="1" applyAlignment="1">
      <alignment horizontal="center" vertical="center"/>
    </xf>
    <xf numFmtId="0" fontId="12" fillId="3" borderId="1" xfId="0" applyFont="1" applyFill="1" applyBorder="1" applyAlignment="1">
      <alignment vertical="center" wrapText="1"/>
    </xf>
    <xf numFmtId="0" fontId="12" fillId="8" borderId="72" xfId="0" applyFont="1" applyFill="1" applyBorder="1" applyAlignment="1">
      <alignment horizontal="center" vertical="center"/>
    </xf>
    <xf numFmtId="0" fontId="12" fillId="8" borderId="12" xfId="0" applyFont="1" applyFill="1" applyBorder="1" applyAlignment="1">
      <alignment horizontal="center" vertical="center"/>
    </xf>
    <xf numFmtId="0" fontId="12" fillId="8" borderId="73" xfId="0" applyFont="1" applyFill="1" applyBorder="1" applyAlignment="1">
      <alignment horizontal="center" vertical="center"/>
    </xf>
    <xf numFmtId="0" fontId="12" fillId="8" borderId="15" xfId="0" applyFont="1" applyFill="1" applyBorder="1" applyAlignment="1">
      <alignment horizontal="center" vertical="center"/>
    </xf>
    <xf numFmtId="0" fontId="12" fillId="8" borderId="10" xfId="0" applyFont="1" applyFill="1" applyBorder="1" applyAlignment="1">
      <alignment horizontal="center" vertical="center"/>
    </xf>
    <xf numFmtId="0" fontId="12" fillId="8" borderId="74" xfId="0" applyFont="1" applyFill="1" applyBorder="1" applyAlignment="1">
      <alignment horizontal="center" vertical="center"/>
    </xf>
    <xf numFmtId="0" fontId="12" fillId="8" borderId="40" xfId="0" applyFont="1" applyFill="1" applyBorder="1" applyAlignment="1">
      <alignment horizontal="center" vertical="center"/>
    </xf>
    <xf numFmtId="0" fontId="12" fillId="3" borderId="57" xfId="0" applyFont="1" applyFill="1" applyBorder="1" applyAlignment="1">
      <alignment vertical="center" wrapText="1" shrinkToFit="1"/>
    </xf>
    <xf numFmtId="0" fontId="12" fillId="3" borderId="4" xfId="0" applyFont="1" applyFill="1" applyBorder="1" applyAlignment="1">
      <alignment vertical="center" wrapText="1" shrinkToFit="1"/>
    </xf>
    <xf numFmtId="0" fontId="12" fillId="3" borderId="2" xfId="0" applyFont="1" applyFill="1" applyBorder="1" applyAlignment="1">
      <alignment vertical="center" wrapText="1" shrinkToFit="1"/>
    </xf>
    <xf numFmtId="0" fontId="12" fillId="3" borderId="57" xfId="0" applyFont="1" applyFill="1" applyBorder="1" applyAlignment="1">
      <alignment vertical="center" wrapText="1"/>
    </xf>
    <xf numFmtId="0" fontId="12" fillId="3" borderId="4" xfId="0" applyFont="1" applyFill="1" applyBorder="1" applyAlignment="1">
      <alignment vertical="center" wrapText="1"/>
    </xf>
    <xf numFmtId="0" fontId="12" fillId="3" borderId="2" xfId="0" applyFont="1" applyFill="1" applyBorder="1" applyAlignment="1">
      <alignment vertical="center" wrapText="1"/>
    </xf>
    <xf numFmtId="0" fontId="13" fillId="3" borderId="3" xfId="0" applyFont="1" applyFill="1" applyBorder="1" applyAlignment="1">
      <alignment vertical="center" wrapText="1"/>
    </xf>
    <xf numFmtId="0" fontId="13" fillId="3" borderId="4" xfId="0" applyFont="1" applyFill="1" applyBorder="1" applyAlignment="1">
      <alignment vertical="center" wrapText="1"/>
    </xf>
    <xf numFmtId="0" fontId="13" fillId="3" borderId="2" xfId="0" applyFont="1" applyFill="1" applyBorder="1" applyAlignment="1">
      <alignment vertical="center" wrapText="1"/>
    </xf>
    <xf numFmtId="189" fontId="3" fillId="3" borderId="3" xfId="0" applyNumberFormat="1" applyFont="1" applyFill="1" applyBorder="1" applyAlignment="1">
      <alignment horizontal="right" vertical="center" shrinkToFit="1"/>
    </xf>
    <xf numFmtId="189" fontId="3" fillId="3" borderId="2" xfId="0" applyNumberFormat="1" applyFont="1" applyFill="1" applyBorder="1" applyAlignment="1">
      <alignment horizontal="right" vertical="center" shrinkToFit="1"/>
    </xf>
    <xf numFmtId="204" fontId="3" fillId="3" borderId="3" xfId="0" applyNumberFormat="1" applyFont="1" applyFill="1" applyBorder="1" applyAlignment="1">
      <alignment horizontal="right" vertical="center" shrinkToFit="1"/>
    </xf>
    <xf numFmtId="204" fontId="3" fillId="3" borderId="2" xfId="0" applyNumberFormat="1" applyFont="1" applyFill="1" applyBorder="1" applyAlignment="1">
      <alignment horizontal="right" vertical="center" shrinkToFit="1"/>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5" xfId="0" applyFont="1" applyFill="1" applyBorder="1" applyAlignment="1">
      <alignment horizontal="center" vertical="center"/>
    </xf>
    <xf numFmtId="0" fontId="12" fillId="3" borderId="10"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3" borderId="12" xfId="0" applyFont="1" applyFill="1" applyBorder="1" applyAlignment="1">
      <alignment vertical="center" shrinkToFit="1"/>
    </xf>
    <xf numFmtId="0" fontId="12" fillId="3" borderId="3" xfId="0" applyFont="1" applyFill="1" applyBorder="1" applyAlignment="1">
      <alignment horizontal="center" vertical="center" shrinkToFit="1"/>
    </xf>
    <xf numFmtId="0" fontId="12" fillId="3" borderId="2" xfId="0" applyFont="1" applyFill="1" applyBorder="1" applyAlignment="1">
      <alignment horizontal="center" vertical="center" shrinkToFit="1"/>
    </xf>
    <xf numFmtId="0" fontId="12" fillId="8" borderId="3" xfId="0" applyFont="1" applyFill="1" applyBorder="1" applyAlignment="1">
      <alignment horizontal="center" vertical="center" shrinkToFit="1"/>
    </xf>
    <xf numFmtId="0" fontId="12" fillId="8" borderId="2" xfId="0" applyFont="1" applyFill="1" applyBorder="1" applyAlignment="1">
      <alignment horizontal="center" vertical="center" shrinkToFit="1"/>
    </xf>
    <xf numFmtId="0" fontId="12" fillId="0" borderId="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0" xfId="0" applyFont="1" applyAlignment="1">
      <alignment horizontal="center" vertical="center" wrapText="1"/>
    </xf>
    <xf numFmtId="0" fontId="12" fillId="0" borderId="14"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0" xfId="0" applyFont="1" applyBorder="1" applyAlignment="1">
      <alignment horizontal="center" vertical="center" wrapText="1"/>
    </xf>
    <xf numFmtId="0" fontId="12" fillId="8" borderId="3" xfId="4" applyFont="1" applyFill="1" applyBorder="1" applyAlignment="1">
      <alignment horizontal="center" vertical="center" shrinkToFit="1"/>
    </xf>
    <xf numFmtId="0" fontId="12" fillId="8" borderId="2" xfId="4" applyFont="1" applyFill="1" applyBorder="1" applyAlignment="1">
      <alignment horizontal="center" vertical="center" shrinkToFit="1"/>
    </xf>
    <xf numFmtId="0" fontId="12" fillId="5" borderId="5" xfId="4" applyFont="1" applyFill="1" applyBorder="1" applyAlignment="1">
      <alignment horizontal="center" vertical="center" wrapText="1"/>
    </xf>
    <xf numFmtId="0" fontId="12" fillId="8" borderId="3" xfId="4" applyFont="1" applyFill="1" applyBorder="1" applyAlignment="1">
      <alignment horizontal="center" vertical="center"/>
    </xf>
    <xf numFmtId="0" fontId="12" fillId="8" borderId="2" xfId="4" applyFont="1" applyFill="1" applyBorder="1" applyAlignment="1">
      <alignment horizontal="center" vertical="center"/>
    </xf>
    <xf numFmtId="0" fontId="12" fillId="8" borderId="3" xfId="4" applyFont="1" applyFill="1" applyBorder="1" applyAlignment="1">
      <alignment horizontal="center" vertical="center" wrapText="1"/>
    </xf>
    <xf numFmtId="0" fontId="12" fillId="8" borderId="2" xfId="4" applyFont="1" applyFill="1" applyBorder="1" applyAlignment="1">
      <alignment horizontal="center" vertical="center" wrapText="1"/>
    </xf>
    <xf numFmtId="0" fontId="12" fillId="10" borderId="147" xfId="4" applyFont="1" applyFill="1" applyBorder="1" applyAlignment="1">
      <alignment horizontal="center" vertical="center" shrinkToFit="1"/>
    </xf>
    <xf numFmtId="0" fontId="36" fillId="0" borderId="3" xfId="4" applyFont="1" applyBorder="1" applyAlignment="1">
      <alignment horizontal="center" vertical="center" shrinkToFit="1"/>
    </xf>
    <xf numFmtId="0" fontId="36" fillId="0" borderId="2" xfId="4" applyFont="1" applyBorder="1" applyAlignment="1">
      <alignment horizontal="center" vertical="center" shrinkToFit="1"/>
    </xf>
    <xf numFmtId="0" fontId="12" fillId="5" borderId="7" xfId="4" applyFont="1" applyFill="1" applyBorder="1" applyAlignment="1">
      <alignment horizontal="center" vertical="center" wrapText="1"/>
    </xf>
    <xf numFmtId="0" fontId="12" fillId="5" borderId="3" xfId="4" applyFont="1" applyFill="1" applyBorder="1" applyAlignment="1">
      <alignment horizontal="center" vertical="center" wrapText="1"/>
    </xf>
    <xf numFmtId="0" fontId="12" fillId="5"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7" borderId="2" xfId="4" applyFont="1" applyFill="1" applyBorder="1" applyAlignment="1">
      <alignment horizontal="center" vertical="center" wrapText="1"/>
    </xf>
    <xf numFmtId="0" fontId="12" fillId="5" borderId="3" xfId="4" applyFont="1" applyFill="1" applyBorder="1" applyAlignment="1">
      <alignment horizontal="center" vertical="center"/>
    </xf>
    <xf numFmtId="0" fontId="12" fillId="5" borderId="2" xfId="4" applyFont="1" applyFill="1" applyBorder="1" applyAlignment="1">
      <alignment horizontal="center" vertical="center"/>
    </xf>
    <xf numFmtId="0" fontId="12" fillId="7" borderId="3" xfId="4" applyFont="1" applyFill="1" applyBorder="1" applyAlignment="1">
      <alignment horizontal="center" vertical="center"/>
    </xf>
    <xf numFmtId="0" fontId="12" fillId="7" borderId="2" xfId="4" applyFont="1" applyFill="1" applyBorder="1" applyAlignment="1">
      <alignment horizontal="center" vertical="center"/>
    </xf>
    <xf numFmtId="0" fontId="12" fillId="0" borderId="8" xfId="4" applyFont="1" applyBorder="1" applyAlignment="1">
      <alignment horizontal="center" vertical="center" shrinkToFit="1"/>
    </xf>
    <xf numFmtId="0" fontId="12" fillId="0" borderId="11" xfId="4" applyFont="1" applyBorder="1" applyAlignment="1">
      <alignment horizontal="center" vertical="center" shrinkToFit="1"/>
    </xf>
    <xf numFmtId="0" fontId="36" fillId="0" borderId="9" xfId="4" applyFont="1" applyBorder="1" applyAlignment="1">
      <alignment horizontal="center" vertical="center" shrinkToFit="1"/>
    </xf>
    <xf numFmtId="0" fontId="36" fillId="0" borderId="10" xfId="4" applyFont="1" applyBorder="1" applyAlignment="1">
      <alignment horizontal="center" vertical="center" shrinkToFit="1"/>
    </xf>
    <xf numFmtId="0" fontId="12" fillId="3" borderId="13" xfId="4" applyFont="1" applyFill="1" applyBorder="1" applyAlignment="1">
      <alignment horizontal="center" vertical="center" textRotation="255" shrinkToFit="1"/>
    </xf>
    <xf numFmtId="0" fontId="12" fillId="3" borderId="130" xfId="0" applyFont="1" applyFill="1" applyBorder="1" applyAlignment="1">
      <alignment horizontal="center" vertical="center"/>
    </xf>
    <xf numFmtId="0" fontId="12" fillId="3" borderId="131" xfId="0" applyFont="1" applyFill="1" applyBorder="1" applyAlignment="1">
      <alignment horizontal="center" vertical="center"/>
    </xf>
    <xf numFmtId="0" fontId="12" fillId="3" borderId="132" xfId="0" applyFont="1" applyFill="1" applyBorder="1" applyAlignment="1">
      <alignment horizontal="center" vertical="center"/>
    </xf>
    <xf numFmtId="0" fontId="12" fillId="3" borderId="57" xfId="0" applyFont="1" applyFill="1" applyBorder="1" applyAlignment="1">
      <alignment vertical="center" shrinkToFit="1"/>
    </xf>
    <xf numFmtId="0" fontId="12" fillId="3" borderId="2" xfId="0" applyFont="1" applyFill="1" applyBorder="1" applyAlignment="1">
      <alignment vertical="center" shrinkToFit="1"/>
    </xf>
    <xf numFmtId="0" fontId="62" fillId="3" borderId="62" xfId="0" applyFont="1" applyFill="1" applyBorder="1" applyAlignment="1">
      <alignment vertical="center" shrinkToFit="1"/>
    </xf>
    <xf numFmtId="0" fontId="62" fillId="3" borderId="35" xfId="0" applyFont="1" applyFill="1" applyBorder="1" applyAlignment="1">
      <alignment vertical="center" shrinkToFit="1"/>
    </xf>
    <xf numFmtId="0" fontId="12" fillId="3" borderId="72" xfId="0" applyFont="1" applyFill="1" applyBorder="1" applyAlignment="1">
      <alignment vertical="center" shrinkToFit="1"/>
    </xf>
    <xf numFmtId="0" fontId="12" fillId="3" borderId="11" xfId="0" applyFont="1" applyFill="1" applyBorder="1" applyAlignment="1">
      <alignment vertical="center" shrinkToFit="1"/>
    </xf>
    <xf numFmtId="0" fontId="32" fillId="3" borderId="0" xfId="0" applyFont="1" applyFill="1">
      <alignment vertical="center"/>
    </xf>
    <xf numFmtId="0" fontId="12" fillId="3" borderId="0" xfId="0" applyFont="1" applyFill="1">
      <alignment vertical="center"/>
    </xf>
    <xf numFmtId="0" fontId="12" fillId="4" borderId="60" xfId="0" applyFont="1" applyFill="1" applyBorder="1" applyAlignment="1">
      <alignment horizontal="center" vertical="center"/>
    </xf>
    <xf numFmtId="0" fontId="12" fillId="4" borderId="31" xfId="0" applyFont="1" applyFill="1" applyBorder="1" applyAlignment="1">
      <alignment horizontal="center" vertical="center"/>
    </xf>
    <xf numFmtId="0" fontId="12" fillId="8" borderId="7" xfId="0" applyFont="1" applyFill="1" applyBorder="1" applyAlignment="1">
      <alignment horizontal="center" vertical="center" wrapText="1" shrinkToFit="1"/>
    </xf>
    <xf numFmtId="0" fontId="32" fillId="8" borderId="38" xfId="4" applyFont="1" applyFill="1" applyBorder="1" applyAlignment="1">
      <alignment horizontal="center" vertical="center"/>
    </xf>
    <xf numFmtId="0" fontId="32" fillId="8" borderId="17" xfId="4" applyFont="1" applyFill="1" applyBorder="1" applyAlignment="1">
      <alignment horizontal="center" vertical="center"/>
    </xf>
    <xf numFmtId="0" fontId="57" fillId="22" borderId="3" xfId="4" applyFont="1" applyFill="1" applyBorder="1" applyAlignment="1">
      <alignment horizontal="center" vertical="center" shrinkToFit="1"/>
    </xf>
    <xf numFmtId="0" fontId="57" fillId="22" borderId="4" xfId="4" applyFont="1" applyFill="1" applyBorder="1" applyAlignment="1">
      <alignment horizontal="center" vertical="center" shrinkToFit="1"/>
    </xf>
    <xf numFmtId="0" fontId="57" fillId="22" borderId="2" xfId="4" applyFont="1" applyFill="1" applyBorder="1" applyAlignment="1">
      <alignment horizontal="center" vertical="center" shrinkToFit="1"/>
    </xf>
    <xf numFmtId="0" fontId="32" fillId="8" borderId="58" xfId="4" applyFont="1" applyFill="1" applyBorder="1" applyAlignment="1">
      <alignment horizontal="center" vertical="center"/>
    </xf>
    <xf numFmtId="0" fontId="32" fillId="8" borderId="59" xfId="4" applyFont="1" applyFill="1" applyBorder="1" applyAlignment="1">
      <alignment horizontal="center" vertical="center"/>
    </xf>
    <xf numFmtId="0" fontId="12" fillId="3" borderId="3" xfId="4" applyFont="1" applyFill="1" applyBorder="1" applyAlignment="1">
      <alignment vertical="center" shrinkToFit="1"/>
    </xf>
    <xf numFmtId="0" fontId="12" fillId="3" borderId="2" xfId="4" applyFont="1" applyFill="1" applyBorder="1" applyAlignment="1">
      <alignment vertical="center" shrinkToFit="1"/>
    </xf>
    <xf numFmtId="184" fontId="49" fillId="3" borderId="68" xfId="0" applyNumberFormat="1" applyFont="1" applyFill="1" applyBorder="1" applyAlignment="1">
      <alignment horizontal="right" vertical="center" shrinkToFit="1"/>
    </xf>
    <xf numFmtId="184" fontId="49" fillId="3" borderId="66" xfId="0" applyNumberFormat="1" applyFont="1" applyFill="1" applyBorder="1" applyAlignment="1">
      <alignment horizontal="right" vertical="center" shrinkToFit="1"/>
    </xf>
  </cellXfs>
  <cellStyles count="12">
    <cellStyle name="パーセント" xfId="7" builtinId="5"/>
    <cellStyle name="パーセント 2" xfId="5" xr:uid="{401195BD-8500-4A7A-A392-73CEC604894F}"/>
    <cellStyle name="パーセント 2 2" xfId="9" xr:uid="{85937CE0-C6F5-4074-B025-6868E48935CD}"/>
    <cellStyle name="ハイパーリンク" xfId="1" builtinId="8"/>
    <cellStyle name="桁区切り 2" xfId="2" xr:uid="{5AE551B8-CC85-430D-B95C-B045349DC49C}"/>
    <cellStyle name="桁区切り 3" xfId="6" xr:uid="{AE1FFB1E-04BE-4B59-B4EA-FB1A38045BF1}"/>
    <cellStyle name="桁区切り 3 2" xfId="10" xr:uid="{8C69B0D4-2007-40CF-A8E1-18C3714B6DEF}"/>
    <cellStyle name="標準" xfId="0" builtinId="0"/>
    <cellStyle name="標準 2" xfId="4" xr:uid="{0BCC53A0-82EB-4E1A-94D7-F5104D3D056D}"/>
    <cellStyle name="標準 2 2" xfId="11" xr:uid="{FEE9F2B0-DFE4-48C4-8DB6-95F3FD8A61B7}"/>
    <cellStyle name="標準 3" xfId="8" xr:uid="{BA7FCD92-8A14-4BC9-B311-7F8867C6126B}"/>
    <cellStyle name="標準 4" xfId="3" xr:uid="{579E7AE1-F087-49EF-96C5-14E1663CDBF8}"/>
  </cellStyles>
  <dxfs count="110">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fgColor theme="0" tint="-0.499984740745262"/>
          <bgColor theme="0" tint="-0.499984740745262"/>
        </patternFill>
      </fill>
    </dxf>
    <dxf>
      <fill>
        <patternFill patternType="solid">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patternType="solid">
          <fgColor theme="0" tint="-0.499984740745262"/>
          <bgColor theme="0" tint="-0.499984740745262"/>
        </patternFill>
      </fill>
    </dxf>
    <dxf>
      <font>
        <color rgb="FF9C0006"/>
      </font>
      <fill>
        <patternFill>
          <bgColor rgb="FFFFC7CE"/>
        </patternFill>
      </fill>
    </dxf>
    <dxf>
      <fill>
        <patternFill patternType="solid">
          <fgColor theme="0" tint="-0.499984740745262"/>
          <bgColor theme="0" tint="-0.499984740745262"/>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bgColor theme="0" tint="-0.24994659260841701"/>
        </patternFill>
      </fill>
    </dxf>
    <dxf>
      <fill>
        <patternFill>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patternType="solid">
          <fgColor theme="0" tint="-0.499984740745262"/>
          <bgColor theme="0" tint="-0.499984740745262"/>
        </patternFill>
      </fill>
    </dxf>
    <dxf>
      <font>
        <color rgb="FF9C0006"/>
      </font>
      <fill>
        <patternFill>
          <bgColor rgb="FFFFC7CE"/>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4B4B"/>
        </patternFill>
      </fill>
    </dxf>
    <dxf>
      <fill>
        <patternFill>
          <bgColor rgb="FFFF4B4B"/>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4B4B"/>
        </patternFill>
      </fill>
    </dxf>
    <dxf>
      <fill>
        <patternFill>
          <bgColor rgb="FFFF4B4B"/>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9696"/>
        </patternFill>
      </fill>
    </dxf>
    <dxf>
      <fill>
        <patternFill>
          <bgColor rgb="FFFF4B4B"/>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rgb="FFFFFF99"/>
        </patternFill>
      </fill>
    </dxf>
    <dxf>
      <fill>
        <patternFill>
          <bgColor theme="1" tint="0.499984740745262"/>
        </patternFill>
      </fill>
    </dxf>
    <dxf>
      <font>
        <strike val="0"/>
      </font>
      <fill>
        <patternFill>
          <fgColor theme="5" tint="0.39991454817346722"/>
          <bgColor rgb="FFFF4B4B"/>
        </patternFill>
      </fill>
    </dxf>
    <dxf>
      <fill>
        <patternFill>
          <bgColor rgb="FFFF4B4B"/>
        </patternFill>
      </fill>
    </dxf>
    <dxf>
      <fill>
        <patternFill patternType="solid">
          <fgColor theme="0"/>
          <bgColor rgb="FFFFFF99"/>
        </patternFill>
      </fill>
    </dxf>
    <dxf>
      <fill>
        <patternFill patternType="solid">
          <fgColor theme="0"/>
          <bgColor theme="1" tint="0.499984740745262"/>
        </patternFill>
      </fill>
    </dxf>
    <dxf>
      <fill>
        <patternFill>
          <fgColor theme="0" tint="-0.499984740745262"/>
          <bgColor theme="0" tint="-0.499984740745262"/>
        </patternFill>
      </fill>
    </dxf>
    <dxf>
      <fill>
        <patternFill>
          <bgColor theme="1" tint="0.499984740745262"/>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fgColor theme="0" tint="-0.499984740745262"/>
          <bgColor theme="0" tint="-0.499984740745262"/>
        </patternFill>
      </fill>
    </dxf>
    <dxf>
      <fill>
        <patternFill patternType="solid">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patternType="solid">
          <fgColor theme="0" tint="-0.499984740745262"/>
          <bgColor theme="0" tint="-0.499984740745262"/>
        </patternFill>
      </fill>
    </dxf>
    <dxf>
      <font>
        <color rgb="FF9C0006"/>
      </font>
      <fill>
        <patternFill>
          <bgColor rgb="FFFFC7CE"/>
        </patternFill>
      </fill>
    </dxf>
    <dxf>
      <fill>
        <patternFill patternType="solid">
          <fgColor theme="0" tint="-0.499984740745262"/>
          <bgColor theme="0" tint="-0.499984740745262"/>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patternType="solid">
          <fgColor theme="0" tint="-0.499984740745262"/>
          <bgColor theme="0" tint="-0.499984740745262"/>
        </patternFill>
      </fill>
    </dxf>
    <dxf>
      <font>
        <color rgb="FF9C0006"/>
      </font>
      <fill>
        <patternFill>
          <bgColor rgb="FFFFC7CE"/>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patternType="solid">
          <fgColor rgb="FFFFFF99"/>
          <bgColor rgb="FFFFFF99"/>
        </patternFill>
      </fill>
    </dxf>
    <dxf>
      <font>
        <color rgb="FFFF000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ont>
        <strike val="0"/>
      </font>
      <fill>
        <patternFill>
          <fgColor theme="5" tint="0.39991454817346722"/>
          <bgColor rgb="FFFF4B4B"/>
        </patternFill>
      </fill>
    </dxf>
    <dxf>
      <fill>
        <patternFill>
          <bgColor rgb="FFFF4B4B"/>
        </patternFill>
      </fill>
    </dxf>
    <dxf>
      <fill>
        <patternFill patternType="solid">
          <fgColor theme="0"/>
          <bgColor theme="1" tint="0.499984740745262"/>
        </patternFill>
      </fill>
    </dxf>
    <dxf>
      <fill>
        <patternFill patternType="solid">
          <fgColor theme="0"/>
          <bgColor rgb="FFFFFF99"/>
        </patternFill>
      </fill>
    </dxf>
    <dxf>
      <fill>
        <patternFill>
          <bgColor rgb="FFFFFF99"/>
        </patternFill>
      </fill>
    </dxf>
    <dxf>
      <font>
        <strike val="0"/>
      </font>
      <fill>
        <patternFill>
          <fgColor theme="5" tint="0.39991454817346722"/>
          <bgColor rgb="FFFF4B4B"/>
        </patternFill>
      </fill>
    </dxf>
    <dxf>
      <fill>
        <patternFill>
          <bgColor rgb="FFFF4B4B"/>
        </patternFill>
      </fill>
    </dxf>
    <dxf>
      <fill>
        <patternFill patternType="solid">
          <fgColor theme="0"/>
          <bgColor rgb="FFFFFF99"/>
        </patternFill>
      </fill>
    </dxf>
  </dxfs>
  <tableStyles count="0" defaultTableStyle="TableStyleMedium2" defaultPivotStyle="PivotStyleLight16"/>
  <colors>
    <mruColors>
      <color rgb="FFFFFF99"/>
      <color rgb="FFFFFFCC"/>
      <color rgb="FFFF66FF"/>
      <color rgb="FFFE7F00"/>
      <color rgb="FFFF9933"/>
      <color rgb="FF0000FF"/>
      <color rgb="FFFFCCFF"/>
      <color rgb="FF5757FF"/>
      <color rgb="FFFF2D2D"/>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sz="1600" b="1"/>
              <a:t>購入電気</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2">
                  <a:lumMod val="20000"/>
                  <a:lumOff val="80000"/>
                </a:schemeClr>
              </a:solidFill>
              <a:ln>
                <a:solidFill>
                  <a:schemeClr val="tx2">
                    <a:lumMod val="60000"/>
                    <a:lumOff val="40000"/>
                  </a:schemeClr>
                </a:solidFill>
              </a:ln>
              <a:effectLst/>
            </c:spPr>
            <c:extLst>
              <c:ext xmlns:c16="http://schemas.microsoft.com/office/drawing/2014/chart" uri="{C3380CC4-5D6E-409C-BE32-E72D297353CC}">
                <c16:uniqueId val="{00000001-F29D-4772-99FE-D64945F08769}"/>
              </c:ext>
            </c:extLst>
          </c:dPt>
          <c:dPt>
            <c:idx val="1"/>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0-F29D-4772-99FE-D64945F08769}"/>
              </c:ext>
            </c:extLst>
          </c:dPt>
          <c:dLbls>
            <c:dLbl>
              <c:idx val="0"/>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093984722462217"/>
                      <c:h val="0.11257894253989299"/>
                    </c:manualLayout>
                  </c15:layout>
                </c:ext>
                <c:ext xmlns:c16="http://schemas.microsoft.com/office/drawing/2014/chart" uri="{C3380CC4-5D6E-409C-BE32-E72D297353CC}">
                  <c16:uniqueId val="{00000001-F29D-4772-99FE-D64945F08769}"/>
                </c:ext>
              </c:extLst>
            </c:dLbl>
            <c:dLbl>
              <c:idx val="1"/>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093984722462217"/>
                      <c:h val="0.11428282885079787"/>
                    </c:manualLayout>
                  </c15:layout>
                </c:ext>
                <c:ext xmlns:c16="http://schemas.microsoft.com/office/drawing/2014/chart" uri="{C3380CC4-5D6E-409C-BE32-E72D297353CC}">
                  <c16:uniqueId val="{00000000-F29D-4772-99FE-D64945F08769}"/>
                </c:ext>
              </c:extLst>
            </c:dLbl>
            <c:numFmt formatCode="#,##0_);[Red]\(#,##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bg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【自動】可視化シート!$AI$9:$AJ$9</c:f>
              <c:strCache>
                <c:ptCount val="2"/>
                <c:pt idx="0">
                  <c:v>令和  年度</c:v>
                </c:pt>
                <c:pt idx="1">
                  <c:v>令和  年度</c:v>
                </c:pt>
              </c:strCache>
            </c:strRef>
          </c:cat>
          <c:val>
            <c:numRef>
              <c:f>【自動】可視化シート!$AI$10:$AJ$10</c:f>
              <c:numCache>
                <c:formatCode>0_);[Red]\(0\)</c:formatCode>
                <c:ptCount val="2"/>
                <c:pt idx="0">
                  <c:v>0</c:v>
                </c:pt>
                <c:pt idx="1">
                  <c:v>0</c:v>
                </c:pt>
              </c:numCache>
            </c:numRef>
          </c:val>
          <c:extLst>
            <c:ext xmlns:c16="http://schemas.microsoft.com/office/drawing/2014/chart" uri="{C3380CC4-5D6E-409C-BE32-E72D297353CC}">
              <c16:uniqueId val="{00000000-1BA0-45DA-A75B-01176CC93EA8}"/>
            </c:ext>
          </c:extLst>
        </c:ser>
        <c:dLbls>
          <c:showLegendKey val="0"/>
          <c:showVal val="0"/>
          <c:showCatName val="0"/>
          <c:showSerName val="0"/>
          <c:showPercent val="0"/>
          <c:showBubbleSize val="0"/>
        </c:dLbls>
        <c:gapWidth val="60"/>
        <c:axId val="987366160"/>
        <c:axId val="987369760"/>
      </c:barChart>
      <c:catAx>
        <c:axId val="9873661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987369760"/>
        <c:crosses val="autoZero"/>
        <c:auto val="1"/>
        <c:lblAlgn val="ctr"/>
        <c:lblOffset val="100"/>
        <c:noMultiLvlLbl val="0"/>
      </c:catAx>
      <c:valAx>
        <c:axId val="987369760"/>
        <c:scaling>
          <c:orientation val="minMax"/>
          <c:min val="0"/>
        </c:scaling>
        <c:delete val="1"/>
        <c:axPos val="l"/>
        <c:numFmt formatCode="0_);[Red]\(0\)" sourceLinked="1"/>
        <c:majorTickMark val="out"/>
        <c:minorTickMark val="none"/>
        <c:tickLblPos val="nextTo"/>
        <c:crossAx val="9873661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a:ln w="25400">
              <a:solidFill>
                <a:srgbClr val="FF0000"/>
              </a:solidFill>
            </a:ln>
          </c:spPr>
          <c:dPt>
            <c:idx val="0"/>
            <c:bubble3D val="0"/>
            <c:spPr>
              <a:solidFill>
                <a:schemeClr val="accent6"/>
              </a:solidFill>
              <a:ln w="25400">
                <a:solidFill>
                  <a:srgbClr val="FF0000"/>
                </a:solidFill>
              </a:ln>
              <a:effectLst/>
            </c:spPr>
            <c:extLst>
              <c:ext xmlns:c16="http://schemas.microsoft.com/office/drawing/2014/chart" uri="{C3380CC4-5D6E-409C-BE32-E72D297353CC}">
                <c16:uniqueId val="{00000001-6ED0-43E1-9926-3DA6B892F82E}"/>
              </c:ext>
            </c:extLst>
          </c:dPt>
          <c:dPt>
            <c:idx val="1"/>
            <c:bubble3D val="0"/>
            <c:spPr>
              <a:solidFill>
                <a:srgbClr val="92D050"/>
              </a:solidFill>
              <a:ln w="25400">
                <a:solidFill>
                  <a:srgbClr val="FF0000"/>
                </a:solidFill>
              </a:ln>
              <a:effectLst/>
            </c:spPr>
            <c:extLst>
              <c:ext xmlns:c16="http://schemas.microsoft.com/office/drawing/2014/chart" uri="{C3380CC4-5D6E-409C-BE32-E72D297353CC}">
                <c16:uniqueId val="{00000003-6ED0-43E1-9926-3DA6B892F82E}"/>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【自動】可視化シート!$AO$55:$AO$56</c:f>
              <c:strCache>
                <c:ptCount val="2"/>
                <c:pt idx="0">
                  <c:v>Scope1（燃料）</c:v>
                </c:pt>
                <c:pt idx="1">
                  <c:v>Scope1（自動車燃料）</c:v>
                </c:pt>
              </c:strCache>
            </c:strRef>
          </c:cat>
          <c:val>
            <c:numRef>
              <c:f>【自動】可視化シート!$AR$55:$AR$56</c:f>
              <c:numCache>
                <c:formatCode>0.0%</c:formatCode>
                <c:ptCount val="2"/>
                <c:pt idx="0">
                  <c:v>0</c:v>
                </c:pt>
                <c:pt idx="1">
                  <c:v>0</c:v>
                </c:pt>
              </c:numCache>
            </c:numRef>
          </c:val>
          <c:extLst>
            <c:ext xmlns:c16="http://schemas.microsoft.com/office/drawing/2014/chart" uri="{C3380CC4-5D6E-409C-BE32-E72D297353CC}">
              <c16:uniqueId val="{00000004-6ED0-43E1-9926-3DA6B892F82E}"/>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合計</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bg1">
                  <a:lumMod val="85000"/>
                </a:schemeClr>
              </a:solidFill>
              <a:ln>
                <a:solidFill>
                  <a:schemeClr val="bg1">
                    <a:lumMod val="65000"/>
                  </a:schemeClr>
                </a:solidFill>
              </a:ln>
              <a:effectLst/>
            </c:spPr>
            <c:extLst>
              <c:ext xmlns:c16="http://schemas.microsoft.com/office/drawing/2014/chart" uri="{C3380CC4-5D6E-409C-BE32-E72D297353CC}">
                <c16:uniqueId val="{00000002-B1A2-42F6-8AC7-C1B2CF551791}"/>
              </c:ext>
            </c:extLst>
          </c:dPt>
          <c:dPt>
            <c:idx val="1"/>
            <c:invertIfNegative val="0"/>
            <c:bubble3D val="0"/>
            <c:spPr>
              <a:solidFill>
                <a:schemeClr val="bg1">
                  <a:lumMod val="65000"/>
                </a:schemeClr>
              </a:solidFill>
              <a:ln>
                <a:noFill/>
              </a:ln>
              <a:effectLst/>
            </c:spPr>
            <c:extLst>
              <c:ext xmlns:c16="http://schemas.microsoft.com/office/drawing/2014/chart" uri="{C3380CC4-5D6E-409C-BE32-E72D297353CC}">
                <c16:uniqueId val="{00000001-B1A2-42F6-8AC7-C1B2CF551791}"/>
              </c:ext>
            </c:extLst>
          </c:dPt>
          <c:dLbls>
            <c:dLbl>
              <c:idx val="0"/>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59844290265282485"/>
                      <c:h val="0.12147200092333918"/>
                    </c:manualLayout>
                  </c15:layout>
                </c:ext>
                <c:ext xmlns:c16="http://schemas.microsoft.com/office/drawing/2014/chart" uri="{C3380CC4-5D6E-409C-BE32-E72D297353CC}">
                  <c16:uniqueId val="{00000002-B1A2-42F6-8AC7-C1B2CF551791}"/>
                </c:ext>
              </c:extLst>
            </c:dLbl>
            <c:dLbl>
              <c:idx val="1"/>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933705135443669"/>
                      <c:h val="0.12343113724608172"/>
                    </c:manualLayout>
                  </c15:layout>
                </c:ext>
                <c:ext xmlns:c16="http://schemas.microsoft.com/office/drawing/2014/chart" uri="{C3380CC4-5D6E-409C-BE32-E72D297353CC}">
                  <c16:uniqueId val="{00000001-B1A2-42F6-8AC7-C1B2CF551791}"/>
                </c:ext>
              </c:extLst>
            </c:dLbl>
            <c:numFmt formatCode="#,##0_);[Red]\(#,##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【自動】可視化シート!$AI$5:$AJ$5</c:f>
              <c:strCache>
                <c:ptCount val="2"/>
                <c:pt idx="0">
                  <c:v>令和  年度</c:v>
                </c:pt>
                <c:pt idx="1">
                  <c:v>令和  年度</c:v>
                </c:pt>
              </c:strCache>
            </c:strRef>
          </c:cat>
          <c:val>
            <c:numRef>
              <c:f>【自動】可視化シート!$AI$6:$AJ$6</c:f>
              <c:numCache>
                <c:formatCode>0_);[Red]\(0\)</c:formatCode>
                <c:ptCount val="2"/>
                <c:pt idx="0">
                  <c:v>0</c:v>
                </c:pt>
                <c:pt idx="1">
                  <c:v>0</c:v>
                </c:pt>
              </c:numCache>
            </c:numRef>
          </c:val>
          <c:extLst>
            <c:ext xmlns:c16="http://schemas.microsoft.com/office/drawing/2014/chart" uri="{C3380CC4-5D6E-409C-BE32-E72D297353CC}">
              <c16:uniqueId val="{00000000-B1A2-42F6-8AC7-C1B2CF551791}"/>
            </c:ext>
          </c:extLst>
        </c:ser>
        <c:dLbls>
          <c:showLegendKey val="0"/>
          <c:showVal val="0"/>
          <c:showCatName val="0"/>
          <c:showSerName val="0"/>
          <c:showPercent val="0"/>
          <c:showBubbleSize val="0"/>
        </c:dLbls>
        <c:gapWidth val="60"/>
        <c:axId val="1295669072"/>
        <c:axId val="1295669432"/>
      </c:barChart>
      <c:catAx>
        <c:axId val="1295669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295669432"/>
        <c:crosses val="autoZero"/>
        <c:auto val="1"/>
        <c:lblAlgn val="ctr"/>
        <c:lblOffset val="100"/>
        <c:noMultiLvlLbl val="0"/>
      </c:catAx>
      <c:valAx>
        <c:axId val="1295669432"/>
        <c:scaling>
          <c:orientation val="minMax"/>
          <c:min val="0"/>
        </c:scaling>
        <c:delete val="1"/>
        <c:axPos val="l"/>
        <c:numFmt formatCode="0_);[Red]\(0\)" sourceLinked="1"/>
        <c:majorTickMark val="out"/>
        <c:minorTickMark val="none"/>
        <c:tickLblPos val="nextTo"/>
        <c:crossAx val="12956690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燃料</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2-4A46-4AF8-BBDA-03E20E30497C}"/>
              </c:ext>
            </c:extLst>
          </c:dPt>
          <c:dPt>
            <c:idx val="1"/>
            <c:invertIfNegative val="0"/>
            <c:bubble3D val="0"/>
            <c:spPr>
              <a:solidFill>
                <a:schemeClr val="accent6">
                  <a:lumMod val="75000"/>
                </a:schemeClr>
              </a:solidFill>
              <a:ln>
                <a:noFill/>
              </a:ln>
              <a:effectLst/>
            </c:spPr>
            <c:extLst>
              <c:ext xmlns:c16="http://schemas.microsoft.com/office/drawing/2014/chart" uri="{C3380CC4-5D6E-409C-BE32-E72D297353CC}">
                <c16:uniqueId val="{00000001-4A46-4AF8-BBDA-03E20E30497C}"/>
              </c:ext>
            </c:extLst>
          </c:dPt>
          <c:dLbls>
            <c:dLbl>
              <c:idx val="0"/>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3454033949831117"/>
                      <c:h val="0.13115048973361459"/>
                    </c:manualLayout>
                  </c15:layout>
                </c:ext>
                <c:ext xmlns:c16="http://schemas.microsoft.com/office/drawing/2014/chart" uri="{C3380CC4-5D6E-409C-BE32-E72D297353CC}">
                  <c16:uniqueId val="{00000002-4A46-4AF8-BBDA-03E20E30497C}"/>
                </c:ext>
              </c:extLst>
            </c:dLbl>
            <c:dLbl>
              <c:idx val="1"/>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540786692842439"/>
                      <c:h val="0.13006131748870003"/>
                    </c:manualLayout>
                  </c15:layout>
                </c:ext>
                <c:ext xmlns:c16="http://schemas.microsoft.com/office/drawing/2014/chart" uri="{C3380CC4-5D6E-409C-BE32-E72D297353CC}">
                  <c16:uniqueId val="{00000001-4A46-4AF8-BBDA-03E20E30497C}"/>
                </c:ext>
              </c:extLst>
            </c:dLbl>
            <c:numFmt formatCode="#,##0_);[Red]\(#,##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【自動】可視化シート!$AI$13:$AJ$13</c:f>
              <c:strCache>
                <c:ptCount val="2"/>
                <c:pt idx="0">
                  <c:v>令和  年度</c:v>
                </c:pt>
                <c:pt idx="1">
                  <c:v>令和  年度</c:v>
                </c:pt>
              </c:strCache>
            </c:strRef>
          </c:cat>
          <c:val>
            <c:numRef>
              <c:f>【自動】可視化シート!$AI$14:$AJ$14</c:f>
              <c:numCache>
                <c:formatCode>0_);[Red]\(0\)</c:formatCode>
                <c:ptCount val="2"/>
                <c:pt idx="0">
                  <c:v>0</c:v>
                </c:pt>
                <c:pt idx="1">
                  <c:v>0</c:v>
                </c:pt>
              </c:numCache>
            </c:numRef>
          </c:val>
          <c:extLst>
            <c:ext xmlns:c16="http://schemas.microsoft.com/office/drawing/2014/chart" uri="{C3380CC4-5D6E-409C-BE32-E72D297353CC}">
              <c16:uniqueId val="{00000000-4A46-4AF8-BBDA-03E20E30497C}"/>
            </c:ext>
          </c:extLst>
        </c:ser>
        <c:dLbls>
          <c:showLegendKey val="0"/>
          <c:showVal val="0"/>
          <c:showCatName val="0"/>
          <c:showSerName val="0"/>
          <c:showPercent val="0"/>
          <c:showBubbleSize val="0"/>
        </c:dLbls>
        <c:gapWidth val="60"/>
        <c:axId val="1135674752"/>
        <c:axId val="1135680152"/>
      </c:barChart>
      <c:catAx>
        <c:axId val="113567475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135680152"/>
        <c:crosses val="autoZero"/>
        <c:auto val="1"/>
        <c:lblAlgn val="ctr"/>
        <c:lblOffset val="100"/>
        <c:noMultiLvlLbl val="0"/>
      </c:catAx>
      <c:valAx>
        <c:axId val="1135680152"/>
        <c:scaling>
          <c:orientation val="minMax"/>
          <c:min val="0"/>
        </c:scaling>
        <c:delete val="1"/>
        <c:axPos val="l"/>
        <c:numFmt formatCode="0_);[Red]\(0\)" sourceLinked="1"/>
        <c:majorTickMark val="out"/>
        <c:minorTickMark val="none"/>
        <c:tickLblPos val="nextTo"/>
        <c:crossAx val="11356747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自動車燃料</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lumMod val="40000"/>
                  <a:lumOff val="60000"/>
                </a:schemeClr>
              </a:solidFill>
              <a:ln>
                <a:noFill/>
              </a:ln>
              <a:effectLst/>
            </c:spPr>
            <c:extLst>
              <c:ext xmlns:c16="http://schemas.microsoft.com/office/drawing/2014/chart" uri="{C3380CC4-5D6E-409C-BE32-E72D297353CC}">
                <c16:uniqueId val="{00000001-58BC-41FE-A29B-054FDF6710D0}"/>
              </c:ext>
            </c:extLst>
          </c:dPt>
          <c:dPt>
            <c:idx val="1"/>
            <c:invertIfNegative val="0"/>
            <c:bubble3D val="0"/>
            <c:spPr>
              <a:solidFill>
                <a:srgbClr val="00B050"/>
              </a:solidFill>
              <a:ln>
                <a:noFill/>
              </a:ln>
              <a:effectLst/>
            </c:spPr>
            <c:extLst>
              <c:ext xmlns:c16="http://schemas.microsoft.com/office/drawing/2014/chart" uri="{C3380CC4-5D6E-409C-BE32-E72D297353CC}">
                <c16:uniqueId val="{00000000-B242-4947-A670-B515BE459786}"/>
              </c:ext>
            </c:extLst>
          </c:dPt>
          <c:dLbls>
            <c:dLbl>
              <c:idx val="0"/>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8681474810369318"/>
                      <c:h val="0.13346156021531175"/>
                    </c:manualLayout>
                  </c15:layout>
                </c:ext>
                <c:ext xmlns:c16="http://schemas.microsoft.com/office/drawing/2014/chart" uri="{C3380CC4-5D6E-409C-BE32-E72D297353CC}">
                  <c16:uniqueId val="{00000001-58BC-41FE-A29B-054FDF6710D0}"/>
                </c:ext>
              </c:extLst>
            </c:dLbl>
            <c:dLbl>
              <c:idx val="1"/>
              <c:numFmt formatCode="#,##0_);[Red]\(#,##0\)" sourceLinked="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115230235320598"/>
                      <c:h val="0.13591470336967085"/>
                    </c:manualLayout>
                  </c15:layout>
                </c:ext>
                <c:ext xmlns:c16="http://schemas.microsoft.com/office/drawing/2014/chart" uri="{C3380CC4-5D6E-409C-BE32-E72D297353CC}">
                  <c16:uniqueId val="{00000000-B242-4947-A670-B515BE459786}"/>
                </c:ext>
              </c:extLst>
            </c:dLbl>
            <c:numFmt formatCode="#,##0_);[Red]\(#,##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【自動】可視化シート!$AI$17:$AJ$17</c:f>
              <c:strCache>
                <c:ptCount val="2"/>
                <c:pt idx="0">
                  <c:v>令和  年度</c:v>
                </c:pt>
                <c:pt idx="1">
                  <c:v>令和  年度</c:v>
                </c:pt>
              </c:strCache>
            </c:strRef>
          </c:cat>
          <c:val>
            <c:numRef>
              <c:f>【自動】可視化シート!$AI$18:$AJ$18</c:f>
              <c:numCache>
                <c:formatCode>0_);[Red]\(0\)</c:formatCode>
                <c:ptCount val="2"/>
                <c:pt idx="0">
                  <c:v>0</c:v>
                </c:pt>
                <c:pt idx="1">
                  <c:v>0</c:v>
                </c:pt>
              </c:numCache>
            </c:numRef>
          </c:val>
          <c:extLst>
            <c:ext xmlns:c16="http://schemas.microsoft.com/office/drawing/2014/chart" uri="{C3380CC4-5D6E-409C-BE32-E72D297353CC}">
              <c16:uniqueId val="{00000000-58BC-41FE-A29B-054FDF6710D0}"/>
            </c:ext>
          </c:extLst>
        </c:ser>
        <c:dLbls>
          <c:showLegendKey val="0"/>
          <c:showVal val="0"/>
          <c:showCatName val="0"/>
          <c:showSerName val="0"/>
          <c:showPercent val="0"/>
          <c:showBubbleSize val="0"/>
        </c:dLbls>
        <c:gapWidth val="60"/>
        <c:axId val="1135690592"/>
        <c:axId val="1135685912"/>
      </c:barChart>
      <c:catAx>
        <c:axId val="1135690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135685912"/>
        <c:crosses val="autoZero"/>
        <c:auto val="1"/>
        <c:lblAlgn val="ctr"/>
        <c:lblOffset val="100"/>
        <c:noMultiLvlLbl val="0"/>
      </c:catAx>
      <c:valAx>
        <c:axId val="1135685912"/>
        <c:scaling>
          <c:orientation val="minMax"/>
          <c:min val="0"/>
        </c:scaling>
        <c:delete val="1"/>
        <c:axPos val="l"/>
        <c:numFmt formatCode="0_);[Red]\(0\)" sourceLinked="1"/>
        <c:majorTickMark val="out"/>
        <c:minorTickMark val="none"/>
        <c:tickLblPos val="nextTo"/>
        <c:crossAx val="11356905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実績表2!$AH$14</c:f>
              <c:strCache>
                <c:ptCount val="1"/>
                <c:pt idx="0">
                  <c:v>令和  年度 購入電力</c:v>
                </c:pt>
              </c:strCache>
            </c:strRef>
          </c:tx>
          <c:spPr>
            <a:solidFill>
              <a:schemeClr val="accent1">
                <a:lumMod val="40000"/>
                <a:lumOff val="60000"/>
              </a:schemeClr>
            </a:solidFill>
            <a:ln>
              <a:solidFill>
                <a:schemeClr val="accent1">
                  <a:lumMod val="20000"/>
                  <a:lumOff val="80000"/>
                </a:schemeClr>
              </a:solid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実績表2!$AI$14:$AT$14</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83A-4B0A-BF0C-FA0E0BE43286}"/>
            </c:ext>
          </c:extLst>
        </c:ser>
        <c:ser>
          <c:idx val="1"/>
          <c:order val="1"/>
          <c:tx>
            <c:strRef>
              <c:f>実績表2!$AH$15</c:f>
              <c:strCache>
                <c:ptCount val="1"/>
                <c:pt idx="0">
                  <c:v>令和  年度 燃料</c:v>
                </c:pt>
              </c:strCache>
            </c:strRef>
          </c:tx>
          <c:spPr>
            <a:solidFill>
              <a:schemeClr val="accent6">
                <a:lumMod val="40000"/>
                <a:lumOff val="60000"/>
              </a:schemeClr>
            </a:solidFill>
            <a:ln>
              <a:no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実績表2!$AI$15:$AT$15</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183A-4B0A-BF0C-FA0E0BE43286}"/>
            </c:ext>
          </c:extLst>
        </c:ser>
        <c:ser>
          <c:idx val="2"/>
          <c:order val="2"/>
          <c:tx>
            <c:strRef>
              <c:f>実績表2!$AH$16</c:f>
              <c:strCache>
                <c:ptCount val="1"/>
                <c:pt idx="0">
                  <c:v>令和  年度 自動車燃料</c:v>
                </c:pt>
              </c:strCache>
            </c:strRef>
          </c:tx>
          <c:spPr>
            <a:solidFill>
              <a:schemeClr val="accent3">
                <a:lumMod val="60000"/>
                <a:lumOff val="40000"/>
              </a:schemeClr>
            </a:solidFill>
            <a:ln>
              <a:no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実績表2!$AI$16:$AT$16</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183A-4B0A-BF0C-FA0E0BE43286}"/>
            </c:ext>
          </c:extLst>
        </c:ser>
        <c:dLbls>
          <c:showLegendKey val="0"/>
          <c:showVal val="0"/>
          <c:showCatName val="0"/>
          <c:showSerName val="0"/>
          <c:showPercent val="0"/>
          <c:showBubbleSize val="0"/>
        </c:dLbls>
        <c:axId val="1139042488"/>
        <c:axId val="1139042128"/>
      </c:areaChart>
      <c:barChart>
        <c:barDir val="col"/>
        <c:grouping val="stacked"/>
        <c:varyColors val="0"/>
        <c:ser>
          <c:idx val="3"/>
          <c:order val="3"/>
          <c:tx>
            <c:strRef>
              <c:f>実績表2!$AH$17</c:f>
              <c:strCache>
                <c:ptCount val="1"/>
                <c:pt idx="0">
                  <c:v>令和  年度 購入電力</c:v>
                </c:pt>
              </c:strCache>
            </c:strRef>
          </c:tx>
          <c:spPr>
            <a:solidFill>
              <a:schemeClr val="tx2">
                <a:lumMod val="75000"/>
              </a:schemeClr>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実績表2!$AI$17:$AT$17</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183A-4B0A-BF0C-FA0E0BE43286}"/>
            </c:ext>
          </c:extLst>
        </c:ser>
        <c:ser>
          <c:idx val="4"/>
          <c:order val="4"/>
          <c:tx>
            <c:strRef>
              <c:f>実績表2!$AH$18</c:f>
              <c:strCache>
                <c:ptCount val="1"/>
                <c:pt idx="0">
                  <c:v>令和  年度 燃料</c:v>
                </c:pt>
              </c:strCache>
            </c:strRef>
          </c:tx>
          <c:spPr>
            <a:solidFill>
              <a:schemeClr val="accent6">
                <a:lumMod val="75000"/>
              </a:schemeClr>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実績表2!$AI$18:$AT$18</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183A-4B0A-BF0C-FA0E0BE43286}"/>
            </c:ext>
          </c:extLst>
        </c:ser>
        <c:ser>
          <c:idx val="5"/>
          <c:order val="5"/>
          <c:tx>
            <c:strRef>
              <c:f>実績表2!$AH$19</c:f>
              <c:strCache>
                <c:ptCount val="1"/>
                <c:pt idx="0">
                  <c:v>令和  年度 自動車燃料</c:v>
                </c:pt>
              </c:strCache>
            </c:strRef>
          </c:tx>
          <c:spPr>
            <a:solidFill>
              <a:srgbClr val="00B050"/>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実績表2!$AI$19:$AT$19</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183A-4B0A-BF0C-FA0E0BE43286}"/>
            </c:ext>
          </c:extLst>
        </c:ser>
        <c:dLbls>
          <c:showLegendKey val="0"/>
          <c:showVal val="0"/>
          <c:showCatName val="0"/>
          <c:showSerName val="0"/>
          <c:showPercent val="0"/>
          <c:showBubbleSize val="0"/>
        </c:dLbls>
        <c:gapWidth val="330"/>
        <c:overlap val="100"/>
        <c:axId val="1139042488"/>
        <c:axId val="1139042128"/>
      </c:barChart>
      <c:catAx>
        <c:axId val="1139042488"/>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139042128"/>
        <c:crosses val="autoZero"/>
        <c:auto val="1"/>
        <c:lblAlgn val="ctr"/>
        <c:lblOffset val="100"/>
        <c:noMultiLvlLbl val="0"/>
      </c:catAx>
      <c:valAx>
        <c:axId val="113904212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139042488"/>
        <c:crosses val="autoZero"/>
        <c:crossBetween val="between"/>
      </c:valAx>
      <c:spPr>
        <a:noFill/>
        <a:ln>
          <a:noFill/>
        </a:ln>
        <a:effectLst/>
      </c:spPr>
    </c:plotArea>
    <c:legend>
      <c:legendPos val="r"/>
      <c:layout>
        <c:manualLayout>
          <c:xMode val="edge"/>
          <c:yMode val="edge"/>
          <c:x val="0.79188814814814834"/>
          <c:y val="0.3061297281323877"/>
          <c:w val="0.20105629629629629"/>
          <c:h val="0.612166962174940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sz="14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3526079002484E-2"/>
          <c:y val="6.035665294924554E-2"/>
          <c:w val="0.74379074169299553"/>
          <c:h val="0.79040731019733645"/>
        </c:manualLayout>
      </c:layout>
      <c:barChart>
        <c:barDir val="col"/>
        <c:grouping val="clustered"/>
        <c:varyColors val="0"/>
        <c:ser>
          <c:idx val="0"/>
          <c:order val="0"/>
          <c:tx>
            <c:strRef>
              <c:f>【自動】可視化シート!$AI$22</c:f>
              <c:strCache>
                <c:ptCount val="1"/>
                <c:pt idx="0">
                  <c:v>令和  年度 購入電力</c:v>
                </c:pt>
              </c:strCache>
            </c:strRef>
          </c:tx>
          <c:spPr>
            <a:solidFill>
              <a:schemeClr val="tx2">
                <a:lumMod val="40000"/>
                <a:lumOff val="60000"/>
              </a:schemeClr>
            </a:solidFill>
            <a:ln>
              <a:noFill/>
            </a:ln>
            <a:effectLst/>
          </c:spPr>
          <c:invertIfNegative val="0"/>
          <c:cat>
            <c:numRef>
              <c:f>【自動】可視化シート!$AJ$21:$AU$21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【自動】可視化シート!$AJ$22:$AU$22</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385-4416-A0CD-452CCA156CA5}"/>
            </c:ext>
          </c:extLst>
        </c:ser>
        <c:ser>
          <c:idx val="1"/>
          <c:order val="1"/>
          <c:tx>
            <c:strRef>
              <c:f>【自動】可視化シート!$AI$23</c:f>
              <c:strCache>
                <c:ptCount val="1"/>
                <c:pt idx="0">
                  <c:v>令和  年度 購入電力</c:v>
                </c:pt>
              </c:strCache>
            </c:strRef>
          </c:tx>
          <c:spPr>
            <a:solidFill>
              <a:schemeClr val="tx2"/>
            </a:solidFill>
            <a:ln>
              <a:noFill/>
            </a:ln>
            <a:effectLst/>
          </c:spPr>
          <c:invertIfNegative val="0"/>
          <c:cat>
            <c:numRef>
              <c:f>【自動】可視化シート!$AJ$21:$AU$21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【自動】可視化シート!$AJ$23:$AU$23</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385-4416-A0CD-452CCA156CA5}"/>
            </c:ext>
          </c:extLst>
        </c:ser>
        <c:dLbls>
          <c:showLegendKey val="0"/>
          <c:showVal val="0"/>
          <c:showCatName val="0"/>
          <c:showSerName val="0"/>
          <c:showPercent val="0"/>
          <c:showBubbleSize val="0"/>
        </c:dLbls>
        <c:gapWidth val="150"/>
        <c:axId val="1221575072"/>
        <c:axId val="1221578312"/>
      </c:barChart>
      <c:catAx>
        <c:axId val="1221575072"/>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221578312"/>
        <c:crosses val="autoZero"/>
        <c:auto val="1"/>
        <c:lblAlgn val="ctr"/>
        <c:lblOffset val="100"/>
        <c:noMultiLvlLbl val="0"/>
      </c:catAx>
      <c:valAx>
        <c:axId val="122157831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221575072"/>
        <c:crosses val="autoZero"/>
        <c:crossBetween val="between"/>
      </c:valAx>
      <c:spPr>
        <a:noFill/>
        <a:ln>
          <a:noFill/>
        </a:ln>
        <a:effectLst/>
      </c:spPr>
    </c:plotArea>
    <c:legend>
      <c:legendPos val="r"/>
      <c:layout>
        <c:manualLayout>
          <c:xMode val="edge"/>
          <c:yMode val="edge"/>
          <c:x val="0.80823438611692111"/>
          <c:y val="0.34156292191871079"/>
          <c:w val="0.17920758894912014"/>
          <c:h val="0.344308566367475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0711567732117E-2"/>
          <c:y val="8.1400607638888886E-2"/>
          <c:w val="0.73952939497716896"/>
          <c:h val="0.67996875000000001"/>
        </c:manualLayout>
      </c:layout>
      <c:barChart>
        <c:barDir val="col"/>
        <c:grouping val="clustered"/>
        <c:varyColors val="0"/>
        <c:ser>
          <c:idx val="0"/>
          <c:order val="0"/>
          <c:tx>
            <c:strRef>
              <c:f>【自動】可視化シート!$AI$27</c:f>
              <c:strCache>
                <c:ptCount val="1"/>
                <c:pt idx="0">
                  <c:v>令和  年度 燃料</c:v>
                </c:pt>
              </c:strCache>
            </c:strRef>
          </c:tx>
          <c:spPr>
            <a:solidFill>
              <a:schemeClr val="accent6">
                <a:lumMod val="40000"/>
                <a:lumOff val="60000"/>
              </a:schemeClr>
            </a:solidFill>
            <a:ln>
              <a:noFill/>
            </a:ln>
            <a:effectLst/>
          </c:spPr>
          <c:invertIfNegative val="0"/>
          <c:cat>
            <c:numRef>
              <c:f>【自動】可視化シート!$AJ$26:$AU$26</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【自動】可視化シート!$AJ$27:$AU$27</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F7F-45B1-B95E-457B71C6C61C}"/>
            </c:ext>
          </c:extLst>
        </c:ser>
        <c:ser>
          <c:idx val="1"/>
          <c:order val="1"/>
          <c:tx>
            <c:strRef>
              <c:f>【自動】可視化シート!$AI$28</c:f>
              <c:strCache>
                <c:ptCount val="1"/>
                <c:pt idx="0">
                  <c:v>令和  年度 燃料</c:v>
                </c:pt>
              </c:strCache>
            </c:strRef>
          </c:tx>
          <c:spPr>
            <a:solidFill>
              <a:schemeClr val="accent2"/>
            </a:solidFill>
            <a:ln>
              <a:noFill/>
            </a:ln>
            <a:effectLst/>
          </c:spPr>
          <c:invertIfNegative val="0"/>
          <c:cat>
            <c:numRef>
              <c:f>【自動】可視化シート!$AJ$26:$AU$26</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【自動】可視化シート!$AJ$28:$AU$28</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F7F-45B1-B95E-457B71C6C61C}"/>
            </c:ext>
          </c:extLst>
        </c:ser>
        <c:dLbls>
          <c:showLegendKey val="0"/>
          <c:showVal val="0"/>
          <c:showCatName val="0"/>
          <c:showSerName val="0"/>
          <c:showPercent val="0"/>
          <c:showBubbleSize val="0"/>
        </c:dLbls>
        <c:gapWidth val="150"/>
        <c:axId val="925073344"/>
        <c:axId val="925071904"/>
      </c:barChart>
      <c:catAx>
        <c:axId val="925073344"/>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925071904"/>
        <c:crosses val="autoZero"/>
        <c:auto val="1"/>
        <c:lblAlgn val="ctr"/>
        <c:lblOffset val="100"/>
        <c:noMultiLvlLbl val="0"/>
      </c:catAx>
      <c:valAx>
        <c:axId val="92507190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925073344"/>
        <c:crosses val="autoZero"/>
        <c:crossBetween val="between"/>
      </c:valAx>
      <c:spPr>
        <a:noFill/>
        <a:ln>
          <a:noFill/>
        </a:ln>
        <a:effectLst/>
      </c:spPr>
    </c:plotArea>
    <c:legend>
      <c:legendPos val="r"/>
      <c:layout>
        <c:manualLayout>
          <c:xMode val="edge"/>
          <c:yMode val="edge"/>
          <c:x val="0.80065639269406397"/>
          <c:y val="0.34839713541666667"/>
          <c:w val="0.17276445966514459"/>
          <c:h val="0.319742187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【自動】可視化シート!$AI$32</c:f>
              <c:strCache>
                <c:ptCount val="1"/>
                <c:pt idx="0">
                  <c:v>令和  年度 自動車燃料</c:v>
                </c:pt>
              </c:strCache>
            </c:strRef>
          </c:tx>
          <c:spPr>
            <a:solidFill>
              <a:schemeClr val="accent3">
                <a:lumMod val="40000"/>
                <a:lumOff val="60000"/>
              </a:schemeClr>
            </a:solidFill>
            <a:ln>
              <a:noFill/>
            </a:ln>
            <a:effectLst/>
          </c:spPr>
          <c:invertIfNegative val="0"/>
          <c:cat>
            <c:numRef>
              <c:f>【自動】可視化シート!$AJ$31:$AU$31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【自動】可視化シート!$AJ$32:$AU$32</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FBB-49E3-883D-08F6B94E51DB}"/>
            </c:ext>
          </c:extLst>
        </c:ser>
        <c:ser>
          <c:idx val="1"/>
          <c:order val="1"/>
          <c:tx>
            <c:strRef>
              <c:f>【自動】可視化シート!$AI$33</c:f>
              <c:strCache>
                <c:ptCount val="1"/>
                <c:pt idx="0">
                  <c:v>令和  年度 自動車燃料</c:v>
                </c:pt>
              </c:strCache>
            </c:strRef>
          </c:tx>
          <c:spPr>
            <a:solidFill>
              <a:srgbClr val="00B050"/>
            </a:solidFill>
            <a:ln>
              <a:noFill/>
            </a:ln>
            <a:effectLst/>
          </c:spPr>
          <c:invertIfNegative val="0"/>
          <c:cat>
            <c:numRef>
              <c:f>【自動】可視化シート!$AJ$31:$AU$31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【自動】可視化シート!$AJ$33:$AU$33</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FBB-49E3-883D-08F6B94E51DB}"/>
            </c:ext>
          </c:extLst>
        </c:ser>
        <c:dLbls>
          <c:showLegendKey val="0"/>
          <c:showVal val="0"/>
          <c:showCatName val="0"/>
          <c:showSerName val="0"/>
          <c:showPercent val="0"/>
          <c:showBubbleSize val="0"/>
        </c:dLbls>
        <c:gapWidth val="150"/>
        <c:axId val="1323873048"/>
        <c:axId val="1323874128"/>
      </c:barChart>
      <c:catAx>
        <c:axId val="1323873048"/>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323874128"/>
        <c:crosses val="autoZero"/>
        <c:auto val="1"/>
        <c:lblAlgn val="ctr"/>
        <c:lblOffset val="100"/>
        <c:noMultiLvlLbl val="0"/>
      </c:catAx>
      <c:valAx>
        <c:axId val="132387412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323873048"/>
        <c:crosses val="autoZero"/>
        <c:crossBetween val="between"/>
      </c:valAx>
      <c:spPr>
        <a:noFill/>
        <a:ln>
          <a:noFill/>
        </a:ln>
        <a:effectLst/>
      </c:spPr>
    </c:plotArea>
    <c:legend>
      <c:legendPos val="r"/>
      <c:layout>
        <c:manualLayout>
          <c:xMode val="edge"/>
          <c:yMode val="edge"/>
          <c:x val="0.8163622526636225"/>
          <c:y val="0.35390928819444445"/>
          <c:w val="0.1763888888888889"/>
          <c:h val="0.3087178819444444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6"/>
              </a:solidFill>
              <a:ln w="31750">
                <a:solidFill>
                  <a:srgbClr val="FF0000"/>
                </a:solidFill>
              </a:ln>
              <a:effectLst/>
            </c:spPr>
            <c:extLst>
              <c:ext xmlns:c16="http://schemas.microsoft.com/office/drawing/2014/chart" uri="{C3380CC4-5D6E-409C-BE32-E72D297353CC}">
                <c16:uniqueId val="{00000001-A541-43E2-A820-BE06265C9C82}"/>
              </c:ext>
            </c:extLst>
          </c:dPt>
          <c:dPt>
            <c:idx val="1"/>
            <c:bubble3D val="0"/>
            <c:spPr>
              <a:solidFill>
                <a:srgbClr val="92D050"/>
              </a:solidFill>
              <a:ln w="19050">
                <a:solidFill>
                  <a:srgbClr val="FF0000"/>
                </a:solidFill>
              </a:ln>
              <a:effectLst/>
            </c:spPr>
            <c:extLst>
              <c:ext xmlns:c16="http://schemas.microsoft.com/office/drawing/2014/chart" uri="{C3380CC4-5D6E-409C-BE32-E72D297353CC}">
                <c16:uniqueId val="{00000003-A541-43E2-A820-BE06265C9C82}"/>
              </c:ext>
            </c:extLst>
          </c:dPt>
          <c:dPt>
            <c:idx val="2"/>
            <c:bubble3D val="0"/>
            <c:spPr>
              <a:solidFill>
                <a:schemeClr val="tx2">
                  <a:lumMod val="40000"/>
                  <a:lumOff val="60000"/>
                </a:schemeClr>
              </a:solidFill>
              <a:ln w="19050">
                <a:noFill/>
              </a:ln>
              <a:effectLst/>
            </c:spPr>
            <c:extLst>
              <c:ext xmlns:c16="http://schemas.microsoft.com/office/drawing/2014/chart" uri="{C3380CC4-5D6E-409C-BE32-E72D297353CC}">
                <c16:uniqueId val="{00000005-A541-43E2-A820-BE06265C9C82}"/>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【自動】可視化シート!$AO$55:$AO$57</c:f>
              <c:strCache>
                <c:ptCount val="3"/>
                <c:pt idx="0">
                  <c:v>Scope1（燃料）</c:v>
                </c:pt>
                <c:pt idx="1">
                  <c:v>Scope1（自動車燃料）</c:v>
                </c:pt>
                <c:pt idx="2">
                  <c:v>Scope2（購入電力）</c:v>
                </c:pt>
              </c:strCache>
            </c:strRef>
          </c:cat>
          <c:val>
            <c:numRef>
              <c:f>【自動】可視化シート!$AQ$55:$AQ$57</c:f>
              <c:numCache>
                <c:formatCode>0.0%</c:formatCode>
                <c:ptCount val="3"/>
                <c:pt idx="0">
                  <c:v>0</c:v>
                </c:pt>
                <c:pt idx="1">
                  <c:v>0</c:v>
                </c:pt>
                <c:pt idx="2">
                  <c:v>0</c:v>
                </c:pt>
              </c:numCache>
            </c:numRef>
          </c:val>
          <c:extLst>
            <c:ext xmlns:c16="http://schemas.microsoft.com/office/drawing/2014/chart" uri="{C3380CC4-5D6E-409C-BE32-E72D297353CC}">
              <c16:uniqueId val="{00000006-A541-43E2-A820-BE06265C9C82}"/>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chart" Target="../charts/chart10.xml"/><Relationship Id="rId3" Type="http://schemas.openxmlformats.org/officeDocument/2006/relationships/chart" Target="../charts/chart3.xml"/><Relationship Id="rId7" Type="http://schemas.microsoft.com/office/2007/relationships/hdphoto" Target="../media/hdphoto1.wdp"/><Relationship Id="rId12" Type="http://schemas.openxmlformats.org/officeDocument/2006/relationships/chart" Target="../charts/chart9.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11" Type="http://schemas.openxmlformats.org/officeDocument/2006/relationships/chart" Target="../charts/chart8.xml"/><Relationship Id="rId5" Type="http://schemas.openxmlformats.org/officeDocument/2006/relationships/chart" Target="../charts/chart5.xml"/><Relationship Id="rId10" Type="http://schemas.openxmlformats.org/officeDocument/2006/relationships/chart" Target="../charts/chart7.xml"/><Relationship Id="rId4" Type="http://schemas.openxmlformats.org/officeDocument/2006/relationships/chart" Target="../charts/chart4.xml"/><Relationship Id="rId9"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10</xdr:col>
      <xdr:colOff>0</xdr:colOff>
      <xdr:row>16</xdr:row>
      <xdr:rowOff>6350</xdr:rowOff>
    </xdr:from>
    <xdr:ext cx="5505482" cy="692497"/>
    <xdr:sp macro="" textlink="">
      <xdr:nvSpPr>
        <xdr:cNvPr id="2" name="テキスト ボックス 1">
          <a:extLst>
            <a:ext uri="{FF2B5EF4-FFF2-40B4-BE49-F238E27FC236}">
              <a16:creationId xmlns:a16="http://schemas.microsoft.com/office/drawing/2014/main" id="{6622B423-4E2E-4CF9-BAB0-A2967B4EE90B}"/>
            </a:ext>
          </a:extLst>
        </xdr:cNvPr>
        <xdr:cNvSpPr txBox="1"/>
      </xdr:nvSpPr>
      <xdr:spPr>
        <a:xfrm>
          <a:off x="7191375" y="5340350"/>
          <a:ext cx="5505482"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黄色の欄に対象年度と</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oneCellAnchor>
    <xdr:from>
      <xdr:col>9</xdr:col>
      <xdr:colOff>635000</xdr:colOff>
      <xdr:row>5</xdr:row>
      <xdr:rowOff>238125</xdr:rowOff>
    </xdr:from>
    <xdr:ext cx="5757666" cy="2561535"/>
    <xdr:sp macro="" textlink="">
      <xdr:nvSpPr>
        <xdr:cNvPr id="3" name="テキスト ボックス 2">
          <a:extLst>
            <a:ext uri="{FF2B5EF4-FFF2-40B4-BE49-F238E27FC236}">
              <a16:creationId xmlns:a16="http://schemas.microsoft.com/office/drawing/2014/main" id="{B8355911-25B2-D6A1-F224-3AE2F4652A1F}"/>
            </a:ext>
          </a:extLst>
        </xdr:cNvPr>
        <xdr:cNvSpPr txBox="1"/>
      </xdr:nvSpPr>
      <xdr:spPr>
        <a:xfrm>
          <a:off x="7131050" y="1844675"/>
          <a:ext cx="5757666" cy="2561535"/>
        </a:xfrm>
        <a:prstGeom prst="rect">
          <a:avLst/>
        </a:prstGeom>
        <a:solidFill>
          <a:schemeClr val="accent3">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kern="1200"/>
            <a:t>事業者版／工場施設版の登録申請時</a:t>
          </a:r>
          <a:endParaRPr kumimoji="1" lang="en-US" altLang="ja-JP" sz="1100" kern="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申請書様式</a:t>
          </a:r>
          <a:r>
            <a:rPr kumimoji="1" lang="en-US" altLang="ja-JP" sz="1100">
              <a:solidFill>
                <a:schemeClr val="tx1"/>
              </a:solidFill>
              <a:effectLst/>
              <a:latin typeface="+mn-lt"/>
              <a:ea typeface="+mn-ea"/>
              <a:cs typeface="+mn-cs"/>
            </a:rPr>
            <a:t>1</a:t>
          </a:r>
          <a:r>
            <a:rPr kumimoji="1" lang="ja-JP" altLang="en-US" sz="1100">
              <a:solidFill>
                <a:schemeClr val="tx1"/>
              </a:solidFill>
              <a:effectLst/>
              <a:latin typeface="+mn-lt"/>
              <a:ea typeface="+mn-ea"/>
              <a:cs typeface="+mn-cs"/>
            </a:rPr>
            <a:t>の他、</a:t>
          </a:r>
          <a:r>
            <a:rPr kumimoji="1" lang="ja-JP" altLang="ja-JP" sz="1100">
              <a:solidFill>
                <a:schemeClr val="tx1"/>
              </a:solidFill>
              <a:effectLst/>
              <a:latin typeface="+mn-lt"/>
              <a:ea typeface="+mn-ea"/>
              <a:cs typeface="+mn-cs"/>
            </a:rPr>
            <a:t>このエクセルファイル</a:t>
          </a:r>
          <a:r>
            <a:rPr kumimoji="1" lang="ja-JP" altLang="en-US" sz="1100">
              <a:solidFill>
                <a:schemeClr val="tx1"/>
              </a:solidFill>
              <a:effectLst/>
              <a:latin typeface="+mn-lt"/>
              <a:ea typeface="+mn-ea"/>
              <a:cs typeface="+mn-cs"/>
            </a:rPr>
            <a:t>で</a:t>
          </a:r>
          <a:r>
            <a:rPr kumimoji="1" lang="ja-JP" altLang="en-US" sz="1100" kern="1200"/>
            <a:t>以下のものを作成のうえ提出してください</a:t>
          </a:r>
          <a:endParaRPr kumimoji="1" lang="en-US" altLang="ja-JP" sz="1100" kern="1200"/>
        </a:p>
        <a:p>
          <a:r>
            <a:rPr kumimoji="1" lang="ja-JP" altLang="en-US" sz="1100" kern="1200"/>
            <a:t>　・実績表１～５</a:t>
          </a:r>
          <a:endParaRPr kumimoji="1" lang="en-US" altLang="ja-JP" sz="1100" kern="1200"/>
        </a:p>
        <a:p>
          <a:r>
            <a:rPr kumimoji="1" lang="ja-JP" altLang="en-US" sz="1100" kern="1200"/>
            <a:t>　・</a:t>
          </a:r>
          <a:r>
            <a:rPr kumimoji="1" lang="en-US" altLang="ja-JP" sz="1100" kern="1200"/>
            <a:t>CO2</a:t>
          </a:r>
          <a:r>
            <a:rPr kumimoji="1" lang="ja-JP" altLang="en-US" sz="1100" kern="1200"/>
            <a:t>排出量可視化シート（実績表１～２を入力することで自動計算）</a:t>
          </a:r>
          <a:endParaRPr kumimoji="1" lang="en-US" altLang="ja-JP" sz="1100" kern="1200"/>
        </a:p>
        <a:p>
          <a:r>
            <a:rPr kumimoji="1" lang="ja-JP" altLang="en-US" sz="1100" kern="1200"/>
            <a:t>　・チェック表（事業者版／工場・施設版のうち、どちらか該当する様式）</a:t>
          </a:r>
          <a:endParaRPr kumimoji="1" lang="en-US" altLang="ja-JP" sz="1100" kern="1200"/>
        </a:p>
        <a:p>
          <a:endParaRPr kumimoji="1" lang="en-US" altLang="ja-JP" sz="1100" kern="1200"/>
        </a:p>
        <a:p>
          <a:endParaRPr kumimoji="1" lang="en-US" altLang="ja-JP" sz="1100" kern="1200"/>
        </a:p>
        <a:p>
          <a:r>
            <a:rPr kumimoji="1" lang="ja-JP" altLang="en-US" sz="1100" kern="1200"/>
            <a:t>（提出先）</a:t>
          </a:r>
          <a:endParaRPr kumimoji="1" lang="en-US" altLang="ja-JP" sz="1100" kern="1200"/>
        </a:p>
        <a:p>
          <a:r>
            <a:rPr kumimoji="1" lang="ja-JP" altLang="en-US" sz="1100" kern="1200"/>
            <a:t>        公益社団法人 いしかわ環境パートナーシップ県民会議（県民エコステーション）</a:t>
          </a:r>
          <a:br>
            <a:rPr kumimoji="1" lang="ja-JP" altLang="en-US" sz="1100" kern="1200"/>
          </a:br>
          <a:r>
            <a:rPr kumimoji="1" lang="ja-JP" altLang="en-US" sz="1100" kern="1200"/>
            <a:t>        〒</a:t>
          </a:r>
          <a:r>
            <a:rPr kumimoji="1" lang="en-US" altLang="ja-JP" sz="1100" kern="1200"/>
            <a:t>920-8203  </a:t>
          </a:r>
          <a:r>
            <a:rPr kumimoji="1" lang="ja-JP" altLang="en-US" sz="1100" kern="1200"/>
            <a:t>金沢市鞍月</a:t>
          </a:r>
          <a:r>
            <a:rPr kumimoji="1" lang="en-US" altLang="ja-JP" sz="1100" kern="1200"/>
            <a:t>2</a:t>
          </a:r>
          <a:r>
            <a:rPr kumimoji="1" lang="ja-JP" altLang="en-US" sz="1100" kern="1200"/>
            <a:t>丁目</a:t>
          </a:r>
          <a:r>
            <a:rPr kumimoji="1" lang="en-US" altLang="ja-JP" sz="1100" kern="1200"/>
            <a:t>1</a:t>
          </a:r>
          <a:r>
            <a:rPr kumimoji="1" lang="ja-JP" altLang="en-US" sz="1100" kern="1200"/>
            <a:t>番地  いしかわエコハウス内</a:t>
          </a:r>
          <a:endParaRPr kumimoji="1" lang="en-US" altLang="ja-JP" sz="1100" kern="1200"/>
        </a:p>
        <a:p>
          <a:r>
            <a:rPr kumimoji="1" lang="ja-JP" altLang="en-US" sz="1100" b="0" i="0" kern="1200">
              <a:solidFill>
                <a:schemeClr val="tx1"/>
              </a:solidFill>
              <a:effectLst/>
              <a:latin typeface="+mn-lt"/>
              <a:ea typeface="+mn-ea"/>
              <a:cs typeface="+mn-cs"/>
            </a:rPr>
            <a:t>　　</a:t>
          </a:r>
          <a:r>
            <a:rPr lang="ja-JP" altLang="en-US" sz="1100" b="0" i="0">
              <a:solidFill>
                <a:schemeClr val="tx1"/>
              </a:solidFill>
              <a:effectLst/>
              <a:latin typeface="+mn-lt"/>
              <a:ea typeface="+mn-ea"/>
              <a:cs typeface="+mn-cs"/>
            </a:rPr>
            <a:t>電話番号：</a:t>
          </a:r>
          <a:r>
            <a:rPr lang="en-US" altLang="ja-JP" sz="1100" b="0" i="0">
              <a:solidFill>
                <a:schemeClr val="tx1"/>
              </a:solidFill>
              <a:effectLst/>
              <a:latin typeface="+mn-lt"/>
              <a:ea typeface="+mn-ea"/>
              <a:cs typeface="+mn-cs"/>
            </a:rPr>
            <a:t>076-266-0881   E-Mail</a:t>
          </a:r>
          <a:r>
            <a:rPr lang="ja-JP" altLang="en-US" sz="1100" b="0" i="0">
              <a:solidFill>
                <a:schemeClr val="tx1"/>
              </a:solidFill>
              <a:effectLst/>
              <a:latin typeface="+mn-lt"/>
              <a:ea typeface="+mn-ea"/>
              <a:cs typeface="+mn-cs"/>
            </a:rPr>
            <a:t>：</a:t>
          </a:r>
          <a:r>
            <a:rPr lang="en-US" altLang="ja-JP" sz="1100" b="0" i="0">
              <a:solidFill>
                <a:schemeClr val="tx1"/>
              </a:solidFill>
              <a:effectLst/>
              <a:latin typeface="+mn-lt"/>
              <a:ea typeface="+mn-ea"/>
              <a:cs typeface="+mn-cs"/>
              <a:hlinkClick xmlns:r="http://schemas.openxmlformats.org/officeDocument/2006/relationships" r:id=""/>
            </a:rPr>
            <a:t>note@eco-partner.net</a:t>
          </a:r>
          <a:endParaRPr kumimoji="1" lang="en-US" altLang="ja-JP" sz="1100" kern="1200"/>
        </a:p>
      </xdr:txBody>
    </xdr:sp>
    <xdr:clientData/>
  </xdr:oneCellAnchor>
  <xdr:oneCellAnchor>
    <xdr:from>
      <xdr:col>10</xdr:col>
      <xdr:colOff>0</xdr:colOff>
      <xdr:row>2</xdr:row>
      <xdr:rowOff>0</xdr:rowOff>
    </xdr:from>
    <xdr:ext cx="5157438" cy="392415"/>
    <xdr:sp macro="" textlink="">
      <xdr:nvSpPr>
        <xdr:cNvPr id="4" name="テキスト ボックス 3">
          <a:extLst>
            <a:ext uri="{FF2B5EF4-FFF2-40B4-BE49-F238E27FC236}">
              <a16:creationId xmlns:a16="http://schemas.microsoft.com/office/drawing/2014/main" id="{48199148-562A-43B1-B2E1-FA63F0F6919E}"/>
            </a:ext>
          </a:extLst>
        </xdr:cNvPr>
        <xdr:cNvSpPr txBox="1"/>
      </xdr:nvSpPr>
      <xdr:spPr>
        <a:xfrm>
          <a:off x="7191375" y="352425"/>
          <a:ext cx="5157438" cy="39241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黄色の欄に事業所の基本情報を入力してください</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9</xdr:col>
      <xdr:colOff>0</xdr:colOff>
      <xdr:row>1</xdr:row>
      <xdr:rowOff>0</xdr:rowOff>
    </xdr:from>
    <xdr:ext cx="4777205" cy="2993127"/>
    <xdr:sp macro="" textlink="">
      <xdr:nvSpPr>
        <xdr:cNvPr id="2" name="テキスト ボックス 1">
          <a:extLst>
            <a:ext uri="{FF2B5EF4-FFF2-40B4-BE49-F238E27FC236}">
              <a16:creationId xmlns:a16="http://schemas.microsoft.com/office/drawing/2014/main" id="{44CB8051-CDC5-4B7A-9CA2-AD8ECF65565D}"/>
            </a:ext>
          </a:extLst>
        </xdr:cNvPr>
        <xdr:cNvSpPr txBox="1"/>
      </xdr:nvSpPr>
      <xdr:spPr>
        <a:xfrm>
          <a:off x="7762875" y="257175"/>
          <a:ext cx="4777205" cy="299312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簡易診断シート活用の手順</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①「実績表２」へ入力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「実績表２」の「①エネルギー使用量の入力表」に入力された「開始年月」と</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「使用量（下段の直近１年分のみ）」をもとに、光熱費が試算されますので、</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「実績表２」の入力状況もご確認ください</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簡易診断シートの試算のみを行う場合も、上記２か所の入力が必要です</a:t>
          </a: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②「</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共通</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事業所の光熱費」へ入力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③試算する「設備ごとのシート」へ入力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⇒試算結果は「</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結果</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簡易診断シート」に反映されます</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7</xdr:col>
      <xdr:colOff>248103</xdr:colOff>
      <xdr:row>0</xdr:row>
      <xdr:rowOff>164646</xdr:rowOff>
    </xdr:from>
    <xdr:ext cx="5915658" cy="3793474"/>
    <xdr:sp macro="" textlink="">
      <xdr:nvSpPr>
        <xdr:cNvPr id="3" name="テキスト ボックス 2">
          <a:extLst>
            <a:ext uri="{FF2B5EF4-FFF2-40B4-BE49-F238E27FC236}">
              <a16:creationId xmlns:a16="http://schemas.microsoft.com/office/drawing/2014/main" id="{8EC0820F-AF6C-4215-A89D-0AE2A6E9C3D1}"/>
            </a:ext>
          </a:extLst>
        </xdr:cNvPr>
        <xdr:cNvSpPr txBox="1"/>
      </xdr:nvSpPr>
      <xdr:spPr>
        <a:xfrm>
          <a:off x="6001203" y="164646"/>
          <a:ext cx="5915658" cy="3793474"/>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・「実績表２」の「①エネルギー使用量の入力表」に入力された「</a:t>
          </a:r>
          <a:r>
            <a:rPr kumimoji="1" lang="ja-JP" altLang="en-US" sz="1400" b="1" u="sng" kern="1200">
              <a:solidFill>
                <a:schemeClr val="tx1"/>
              </a:solidFill>
              <a:latin typeface="ＭＳ Ｐゴシック" panose="020B0600070205080204" pitchFamily="50" charset="-128"/>
              <a:ea typeface="ＭＳ Ｐゴシック" panose="020B0600070205080204" pitchFamily="50" charset="-128"/>
            </a:rPr>
            <a:t>開始年月</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」と</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「使用量</a:t>
          </a:r>
          <a:r>
            <a:rPr kumimoji="1" lang="ja-JP" altLang="en-US" sz="1400" b="1" u="sng" kern="1200">
              <a:solidFill>
                <a:schemeClr val="tx1"/>
              </a:solidFill>
              <a:latin typeface="ＭＳ Ｐゴシック" panose="020B0600070205080204" pitchFamily="50" charset="-128"/>
              <a:ea typeface="ＭＳ Ｐゴシック" panose="020B0600070205080204" pitchFamily="50" charset="-128"/>
            </a:rPr>
            <a:t>（下段の直近１年分のみ）</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」をもとに、光熱費が試算されますので、</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「実績表２」の入力状況もご確認ください</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簡易診断シートの試算のみを行う場合も、上記２か所の入力が必要です</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・「実績表２」の「①エネルギー使用量の入力表」同様の期間における光熱費</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を入力してください</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既に年計でエネルギー種別の光熱費を把握している場合には、</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最初の月の列（</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D20</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D27</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）のみに年計の光熱費を入力してください</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LNG</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を使用する際には、このシートの下段に使用量も入力してください</a:t>
          </a:r>
          <a:b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b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光熱費同様、最初のセルに年計で入力しても構いません</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900" b="1" kern="1200">
              <a:solidFill>
                <a:schemeClr val="tx1"/>
              </a:solidFill>
              <a:latin typeface="ＭＳ Ｐゴシック" panose="020B0600070205080204" pitchFamily="50" charset="-128"/>
              <a:ea typeface="ＭＳ Ｐゴシック" panose="020B0600070205080204" pitchFamily="50" charset="-128"/>
            </a:rPr>
            <a:t>⇒このシートに光熱費を入力後、試算する設備ごとの</a:t>
          </a:r>
          <a:endParaRPr kumimoji="1" lang="en-US" altLang="ja-JP" sz="19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900" b="1" kern="1200">
              <a:solidFill>
                <a:schemeClr val="tx1"/>
              </a:solidFill>
              <a:latin typeface="ＭＳ Ｐゴシック" panose="020B0600070205080204" pitchFamily="50" charset="-128"/>
              <a:ea typeface="ＭＳ Ｐゴシック" panose="020B0600070205080204" pitchFamily="50" charset="-128"/>
            </a:rPr>
            <a:t>　</a:t>
          </a:r>
          <a:r>
            <a:rPr kumimoji="1" lang="ja-JP" altLang="en-US" sz="1900" b="1" kern="12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900" b="1" kern="1200">
              <a:solidFill>
                <a:schemeClr val="tx1"/>
              </a:solidFill>
              <a:latin typeface="ＭＳ Ｐゴシック" panose="020B0600070205080204" pitchFamily="50" charset="-128"/>
              <a:ea typeface="ＭＳ Ｐゴシック" panose="020B0600070205080204" pitchFamily="50" charset="-128"/>
            </a:rPr>
            <a:t>シートに必要なデータを入力してください</a:t>
          </a:r>
          <a:endParaRPr kumimoji="1" lang="en-US" altLang="ja-JP" sz="1900" b="1" kern="12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xdr:col>
      <xdr:colOff>16565</xdr:colOff>
      <xdr:row>3</xdr:row>
      <xdr:rowOff>76200</xdr:rowOff>
    </xdr:from>
    <xdr:to>
      <xdr:col>6</xdr:col>
      <xdr:colOff>293066</xdr:colOff>
      <xdr:row>7</xdr:row>
      <xdr:rowOff>162476</xdr:rowOff>
    </xdr:to>
    <xdr:sp macro="" textlink="">
      <xdr:nvSpPr>
        <xdr:cNvPr id="4" name="テキスト ボックス 3">
          <a:extLst>
            <a:ext uri="{FF2B5EF4-FFF2-40B4-BE49-F238E27FC236}">
              <a16:creationId xmlns:a16="http://schemas.microsoft.com/office/drawing/2014/main" id="{BA686295-045F-4D0D-95BC-5E6C2010DB66}"/>
            </a:ext>
          </a:extLst>
        </xdr:cNvPr>
        <xdr:cNvSpPr txBox="1"/>
      </xdr:nvSpPr>
      <xdr:spPr>
        <a:xfrm>
          <a:off x="1511990" y="828675"/>
          <a:ext cx="3375301" cy="99750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■事務所で同一車種を複数台所有している場合、入替対象を明確にするため、車種名に管理番号として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と付すことをおすすめします。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712304</xdr:colOff>
      <xdr:row>12</xdr:row>
      <xdr:rowOff>223634</xdr:rowOff>
    </xdr:from>
    <xdr:to>
      <xdr:col>2</xdr:col>
      <xdr:colOff>667761</xdr:colOff>
      <xdr:row>14</xdr:row>
      <xdr:rowOff>67243</xdr:rowOff>
    </xdr:to>
    <xdr:sp macro="" textlink="">
      <xdr:nvSpPr>
        <xdr:cNvPr id="5" name="楕円 4">
          <a:extLst>
            <a:ext uri="{FF2B5EF4-FFF2-40B4-BE49-F238E27FC236}">
              <a16:creationId xmlns:a16="http://schemas.microsoft.com/office/drawing/2014/main" id="{C5046978-3E1E-4310-BFD7-2E8CF4495B13}"/>
            </a:ext>
          </a:extLst>
        </xdr:cNvPr>
        <xdr:cNvSpPr/>
      </xdr:nvSpPr>
      <xdr:spPr>
        <a:xfrm>
          <a:off x="1372704" y="3135109"/>
          <a:ext cx="790482" cy="30080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271761</xdr:colOff>
      <xdr:row>7</xdr:row>
      <xdr:rowOff>165652</xdr:rowOff>
    </xdr:from>
    <xdr:to>
      <xdr:col>2</xdr:col>
      <xdr:colOff>720587</xdr:colOff>
      <xdr:row>12</xdr:row>
      <xdr:rowOff>223634</xdr:rowOff>
    </xdr:to>
    <xdr:cxnSp macro="">
      <xdr:nvCxnSpPr>
        <xdr:cNvPr id="6" name="直線矢印コネクタ 5">
          <a:extLst>
            <a:ext uri="{FF2B5EF4-FFF2-40B4-BE49-F238E27FC236}">
              <a16:creationId xmlns:a16="http://schemas.microsoft.com/office/drawing/2014/main" id="{598B66AB-C4EF-4317-A060-8A10F2127959}"/>
            </a:ext>
          </a:extLst>
        </xdr:cNvPr>
        <xdr:cNvCxnSpPr>
          <a:endCxn id="5" idx="0"/>
        </xdr:cNvCxnSpPr>
      </xdr:nvCxnSpPr>
      <xdr:spPr>
        <a:xfrm flipH="1">
          <a:off x="1770361" y="1829352"/>
          <a:ext cx="442476" cy="130575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248478</xdr:colOff>
      <xdr:row>16</xdr:row>
      <xdr:rowOff>99392</xdr:rowOff>
    </xdr:from>
    <xdr:to>
      <xdr:col>4</xdr:col>
      <xdr:colOff>647700</xdr:colOff>
      <xdr:row>17</xdr:row>
      <xdr:rowOff>147196</xdr:rowOff>
    </xdr:to>
    <xdr:sp macro="" textlink="">
      <xdr:nvSpPr>
        <xdr:cNvPr id="7" name="テキスト ボックス 6">
          <a:extLst>
            <a:ext uri="{FF2B5EF4-FFF2-40B4-BE49-F238E27FC236}">
              <a16:creationId xmlns:a16="http://schemas.microsoft.com/office/drawing/2014/main" id="{8B8F7DD9-6F6E-4886-9517-E7B0B98499C1}"/>
            </a:ext>
          </a:extLst>
        </xdr:cNvPr>
        <xdr:cNvSpPr txBox="1"/>
      </xdr:nvSpPr>
      <xdr:spPr>
        <a:xfrm>
          <a:off x="905703" y="3931617"/>
          <a:ext cx="3018597" cy="2700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■プルダウンから燃料種を選択してください。</a:t>
          </a:r>
        </a:p>
      </xdr:txBody>
    </xdr:sp>
    <xdr:clientData/>
  </xdr:twoCellAnchor>
  <xdr:twoCellAnchor>
    <xdr:from>
      <xdr:col>4</xdr:col>
      <xdr:colOff>533400</xdr:colOff>
      <xdr:row>12</xdr:row>
      <xdr:rowOff>177251</xdr:rowOff>
    </xdr:from>
    <xdr:to>
      <xdr:col>5</xdr:col>
      <xdr:colOff>637944</xdr:colOff>
      <xdr:row>14</xdr:row>
      <xdr:rowOff>20859</xdr:rowOff>
    </xdr:to>
    <xdr:sp macro="" textlink="">
      <xdr:nvSpPr>
        <xdr:cNvPr id="8" name="楕円 7">
          <a:extLst>
            <a:ext uri="{FF2B5EF4-FFF2-40B4-BE49-F238E27FC236}">
              <a16:creationId xmlns:a16="http://schemas.microsoft.com/office/drawing/2014/main" id="{D5296905-C57B-41AD-A64E-CC0D922C0F79}"/>
            </a:ext>
          </a:extLst>
        </xdr:cNvPr>
        <xdr:cNvSpPr/>
      </xdr:nvSpPr>
      <xdr:spPr>
        <a:xfrm>
          <a:off x="3810000" y="3095076"/>
          <a:ext cx="764944" cy="2976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49701</xdr:colOff>
      <xdr:row>12</xdr:row>
      <xdr:rowOff>202100</xdr:rowOff>
    </xdr:from>
    <xdr:to>
      <xdr:col>7</xdr:col>
      <xdr:colOff>154244</xdr:colOff>
      <xdr:row>14</xdr:row>
      <xdr:rowOff>45708</xdr:rowOff>
    </xdr:to>
    <xdr:sp macro="" textlink="">
      <xdr:nvSpPr>
        <xdr:cNvPr id="9" name="楕円 8">
          <a:extLst>
            <a:ext uri="{FF2B5EF4-FFF2-40B4-BE49-F238E27FC236}">
              <a16:creationId xmlns:a16="http://schemas.microsoft.com/office/drawing/2014/main" id="{2A034533-11C8-4370-93DD-E11783569BF3}"/>
            </a:ext>
          </a:extLst>
        </xdr:cNvPr>
        <xdr:cNvSpPr/>
      </xdr:nvSpPr>
      <xdr:spPr>
        <a:xfrm>
          <a:off x="4637576" y="3113575"/>
          <a:ext cx="860193" cy="30715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91108</xdr:colOff>
      <xdr:row>13</xdr:row>
      <xdr:rowOff>213606</xdr:rowOff>
    </xdr:from>
    <xdr:to>
      <xdr:col>4</xdr:col>
      <xdr:colOff>649386</xdr:colOff>
      <xdr:row>16</xdr:row>
      <xdr:rowOff>99391</xdr:rowOff>
    </xdr:to>
    <xdr:cxnSp macro="">
      <xdr:nvCxnSpPr>
        <xdr:cNvPr id="10" name="直線矢印コネクタ 9">
          <a:extLst>
            <a:ext uri="{FF2B5EF4-FFF2-40B4-BE49-F238E27FC236}">
              <a16:creationId xmlns:a16="http://schemas.microsoft.com/office/drawing/2014/main" id="{64EEE306-A63A-4088-8F45-200E67A405A3}"/>
            </a:ext>
          </a:extLst>
        </xdr:cNvPr>
        <xdr:cNvCxnSpPr>
          <a:endCxn id="8" idx="3"/>
        </xdr:cNvCxnSpPr>
      </xdr:nvCxnSpPr>
      <xdr:spPr>
        <a:xfrm flipV="1">
          <a:off x="3364533" y="3360031"/>
          <a:ext cx="561453" cy="57158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485496</xdr:colOff>
      <xdr:row>3</xdr:row>
      <xdr:rowOff>85725</xdr:rowOff>
    </xdr:from>
    <xdr:to>
      <xdr:col>12</xdr:col>
      <xdr:colOff>406400</xdr:colOff>
      <xdr:row>7</xdr:row>
      <xdr:rowOff>162476</xdr:rowOff>
    </xdr:to>
    <xdr:sp macro="" textlink="">
      <xdr:nvSpPr>
        <xdr:cNvPr id="11" name="テキスト ボックス 10">
          <a:extLst>
            <a:ext uri="{FF2B5EF4-FFF2-40B4-BE49-F238E27FC236}">
              <a16:creationId xmlns:a16="http://schemas.microsoft.com/office/drawing/2014/main" id="{5014CEBD-ED10-4D0F-A907-23B1ECEBC211}"/>
            </a:ext>
          </a:extLst>
        </xdr:cNvPr>
        <xdr:cNvSpPr txBox="1"/>
      </xdr:nvSpPr>
      <xdr:spPr>
        <a:xfrm>
          <a:off x="5079721" y="835025"/>
          <a:ext cx="3988079" cy="99115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■燃費値はカタログ等から引用してください。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・カタログが手元にない場合、メーカーの</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から引用してください。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■更新前については実燃費でも問題ありません。</a:t>
          </a:r>
        </a:p>
      </xdr:txBody>
    </xdr:sp>
    <xdr:clientData/>
  </xdr:twoCellAnchor>
  <xdr:twoCellAnchor>
    <xdr:from>
      <xdr:col>7</xdr:col>
      <xdr:colOff>28272</xdr:colOff>
      <xdr:row>7</xdr:row>
      <xdr:rowOff>160544</xdr:rowOff>
    </xdr:from>
    <xdr:to>
      <xdr:col>8</xdr:col>
      <xdr:colOff>29589</xdr:colOff>
      <xdr:row>13</xdr:row>
      <xdr:rowOff>15307</xdr:rowOff>
    </xdr:to>
    <xdr:cxnSp macro="">
      <xdr:nvCxnSpPr>
        <xdr:cNvPr id="12" name="直線矢印コネクタ 11">
          <a:extLst>
            <a:ext uri="{FF2B5EF4-FFF2-40B4-BE49-F238E27FC236}">
              <a16:creationId xmlns:a16="http://schemas.microsoft.com/office/drawing/2014/main" id="{8BEE83E5-1E1D-4A42-AA6D-58ADB9F6D135}"/>
            </a:ext>
          </a:extLst>
        </xdr:cNvPr>
        <xdr:cNvCxnSpPr>
          <a:endCxn id="9" idx="7"/>
        </xdr:cNvCxnSpPr>
      </xdr:nvCxnSpPr>
      <xdr:spPr>
        <a:xfrm flipH="1">
          <a:off x="5374972" y="1830594"/>
          <a:ext cx="652192" cy="13247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600075</xdr:colOff>
      <xdr:row>12</xdr:row>
      <xdr:rowOff>207065</xdr:rowOff>
    </xdr:from>
    <xdr:to>
      <xdr:col>14</xdr:col>
      <xdr:colOff>95250</xdr:colOff>
      <xdr:row>14</xdr:row>
      <xdr:rowOff>47498</xdr:rowOff>
    </xdr:to>
    <xdr:sp macro="" textlink="">
      <xdr:nvSpPr>
        <xdr:cNvPr id="13" name="楕円 12">
          <a:extLst>
            <a:ext uri="{FF2B5EF4-FFF2-40B4-BE49-F238E27FC236}">
              <a16:creationId xmlns:a16="http://schemas.microsoft.com/office/drawing/2014/main" id="{EDA0FE4C-BDF4-4A03-B755-911A5CA3D7C4}"/>
            </a:ext>
          </a:extLst>
        </xdr:cNvPr>
        <xdr:cNvSpPr/>
      </xdr:nvSpPr>
      <xdr:spPr>
        <a:xfrm>
          <a:off x="9255125" y="3121715"/>
          <a:ext cx="812800" cy="30080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183411</xdr:colOff>
      <xdr:row>7</xdr:row>
      <xdr:rowOff>163720</xdr:rowOff>
    </xdr:from>
    <xdr:to>
      <xdr:col>13</xdr:col>
      <xdr:colOff>64592</xdr:colOff>
      <xdr:row>13</xdr:row>
      <xdr:rowOff>22052</xdr:rowOff>
    </xdr:to>
    <xdr:cxnSp macro="">
      <xdr:nvCxnSpPr>
        <xdr:cNvPr id="14" name="直線矢印コネクタ 13">
          <a:extLst>
            <a:ext uri="{FF2B5EF4-FFF2-40B4-BE49-F238E27FC236}">
              <a16:creationId xmlns:a16="http://schemas.microsoft.com/office/drawing/2014/main" id="{4FB5D689-51F5-4D5F-9C81-3BC45362F9EC}"/>
            </a:ext>
          </a:extLst>
        </xdr:cNvPr>
        <xdr:cNvCxnSpPr/>
      </xdr:nvCxnSpPr>
      <xdr:spPr>
        <a:xfrm>
          <a:off x="8879736" y="1897270"/>
          <a:ext cx="652706" cy="133470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296242</xdr:colOff>
      <xdr:row>16</xdr:row>
      <xdr:rowOff>105742</xdr:rowOff>
    </xdr:from>
    <xdr:to>
      <xdr:col>18</xdr:col>
      <xdr:colOff>333375</xdr:colOff>
      <xdr:row>17</xdr:row>
      <xdr:rowOff>140846</xdr:rowOff>
    </xdr:to>
    <xdr:sp macro="" textlink="">
      <xdr:nvSpPr>
        <xdr:cNvPr id="15" name="テキスト ボックス 14">
          <a:extLst>
            <a:ext uri="{FF2B5EF4-FFF2-40B4-BE49-F238E27FC236}">
              <a16:creationId xmlns:a16="http://schemas.microsoft.com/office/drawing/2014/main" id="{1EB31C5D-8496-46D1-9666-E687B8CE3997}"/>
            </a:ext>
          </a:extLst>
        </xdr:cNvPr>
        <xdr:cNvSpPr txBox="1"/>
      </xdr:nvSpPr>
      <xdr:spPr>
        <a:xfrm>
          <a:off x="8294067" y="3931617"/>
          <a:ext cx="4637708" cy="2700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■更新対象車から入れ替える新しい車両の情報を入力してください。</a:t>
          </a:r>
        </a:p>
      </xdr:txBody>
    </xdr:sp>
    <xdr:clientData/>
  </xdr:twoCellAnchor>
  <xdr:twoCellAnchor>
    <xdr:from>
      <xdr:col>8</xdr:col>
      <xdr:colOff>554935</xdr:colOff>
      <xdr:row>12</xdr:row>
      <xdr:rowOff>215347</xdr:rowOff>
    </xdr:from>
    <xdr:to>
      <xdr:col>9</xdr:col>
      <xdr:colOff>659478</xdr:colOff>
      <xdr:row>14</xdr:row>
      <xdr:rowOff>58955</xdr:rowOff>
    </xdr:to>
    <xdr:sp macro="" textlink="">
      <xdr:nvSpPr>
        <xdr:cNvPr id="16" name="楕円 15">
          <a:extLst>
            <a:ext uri="{FF2B5EF4-FFF2-40B4-BE49-F238E27FC236}">
              <a16:creationId xmlns:a16="http://schemas.microsoft.com/office/drawing/2014/main" id="{92699DAF-6DBF-4E6E-9CE7-5B1F39CD6ECC}"/>
            </a:ext>
          </a:extLst>
        </xdr:cNvPr>
        <xdr:cNvSpPr/>
      </xdr:nvSpPr>
      <xdr:spPr>
        <a:xfrm>
          <a:off x="6555685" y="3133172"/>
          <a:ext cx="758593" cy="2976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545210</xdr:colOff>
      <xdr:row>14</xdr:row>
      <xdr:rowOff>15368</xdr:rowOff>
    </xdr:from>
    <xdr:to>
      <xdr:col>11</xdr:col>
      <xdr:colOff>296242</xdr:colOff>
      <xdr:row>17</xdr:row>
      <xdr:rowOff>8994</xdr:rowOff>
    </xdr:to>
    <xdr:cxnSp macro="">
      <xdr:nvCxnSpPr>
        <xdr:cNvPr id="17" name="直線矢印コネクタ 16">
          <a:extLst>
            <a:ext uri="{FF2B5EF4-FFF2-40B4-BE49-F238E27FC236}">
              <a16:creationId xmlns:a16="http://schemas.microsoft.com/office/drawing/2014/main" id="{D14E8349-1C74-4CB8-921D-0C7FBA55B38C}"/>
            </a:ext>
          </a:extLst>
        </xdr:cNvPr>
        <xdr:cNvCxnSpPr>
          <a:stCxn id="15" idx="1"/>
          <a:endCxn id="16" idx="5"/>
        </xdr:cNvCxnSpPr>
      </xdr:nvCxnSpPr>
      <xdr:spPr>
        <a:xfrm flipH="1" flipV="1">
          <a:off x="7200010" y="3384043"/>
          <a:ext cx="1094057" cy="68577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368438</xdr:colOff>
      <xdr:row>23</xdr:row>
      <xdr:rowOff>19049</xdr:rowOff>
    </xdr:from>
    <xdr:to>
      <xdr:col>7</xdr:col>
      <xdr:colOff>517493</xdr:colOff>
      <xdr:row>31</xdr:row>
      <xdr:rowOff>830</xdr:rowOff>
    </xdr:to>
    <xdr:sp macro="" textlink="">
      <xdr:nvSpPr>
        <xdr:cNvPr id="18" name="テキスト ボックス 17">
          <a:extLst>
            <a:ext uri="{FF2B5EF4-FFF2-40B4-BE49-F238E27FC236}">
              <a16:creationId xmlns:a16="http://schemas.microsoft.com/office/drawing/2014/main" id="{AB3102F1-8854-4144-B59F-6A0B58B5A6CB}"/>
            </a:ext>
          </a:extLst>
        </xdr:cNvPr>
        <xdr:cNvSpPr txBox="1"/>
      </xdr:nvSpPr>
      <xdr:spPr>
        <a:xfrm>
          <a:off x="1028838" y="5514974"/>
          <a:ext cx="4832180" cy="181058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省エネ診断の診断結果報告書を参照する（受診済みの場合）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施工事業者へ測定等を依頼する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光源（蛍光灯等）に記載のワット数を参照する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356152</xdr:colOff>
      <xdr:row>34</xdr:row>
      <xdr:rowOff>198785</xdr:rowOff>
    </xdr:from>
    <xdr:to>
      <xdr:col>4</xdr:col>
      <xdr:colOff>100695</xdr:colOff>
      <xdr:row>36</xdr:row>
      <xdr:rowOff>49698</xdr:rowOff>
    </xdr:to>
    <xdr:sp macro="" textlink="">
      <xdr:nvSpPr>
        <xdr:cNvPr id="19" name="楕円 18">
          <a:extLst>
            <a:ext uri="{FF2B5EF4-FFF2-40B4-BE49-F238E27FC236}">
              <a16:creationId xmlns:a16="http://schemas.microsoft.com/office/drawing/2014/main" id="{087A9365-29A9-4E3A-854A-F9D8DA0FDD5C}"/>
            </a:ext>
          </a:extLst>
        </xdr:cNvPr>
        <xdr:cNvSpPr/>
      </xdr:nvSpPr>
      <xdr:spPr>
        <a:xfrm>
          <a:off x="2819952" y="8326785"/>
          <a:ext cx="560518"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571324</xdr:colOff>
      <xdr:row>30</xdr:row>
      <xdr:rowOff>228600</xdr:rowOff>
    </xdr:from>
    <xdr:to>
      <xdr:col>3</xdr:col>
      <xdr:colOff>676275</xdr:colOff>
      <xdr:row>34</xdr:row>
      <xdr:rowOff>198785</xdr:rowOff>
    </xdr:to>
    <xdr:cxnSp macro="">
      <xdr:nvCxnSpPr>
        <xdr:cNvPr id="20" name="直線矢印コネクタ 19">
          <a:extLst>
            <a:ext uri="{FF2B5EF4-FFF2-40B4-BE49-F238E27FC236}">
              <a16:creationId xmlns:a16="http://schemas.microsoft.com/office/drawing/2014/main" id="{E4443855-BE49-4E8D-BFDB-3FB4CF9438B6}"/>
            </a:ext>
          </a:extLst>
        </xdr:cNvPr>
        <xdr:cNvCxnSpPr>
          <a:endCxn id="19" idx="0"/>
        </xdr:cNvCxnSpPr>
      </xdr:nvCxnSpPr>
      <xdr:spPr>
        <a:xfrm flipH="1">
          <a:off x="3038299" y="7324725"/>
          <a:ext cx="101776" cy="100206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326333</xdr:colOff>
      <xdr:row>34</xdr:row>
      <xdr:rowOff>198785</xdr:rowOff>
    </xdr:from>
    <xdr:to>
      <xdr:col>7</xdr:col>
      <xdr:colOff>82825</xdr:colOff>
      <xdr:row>36</xdr:row>
      <xdr:rowOff>49698</xdr:rowOff>
    </xdr:to>
    <xdr:sp macro="" textlink="">
      <xdr:nvSpPr>
        <xdr:cNvPr id="21" name="楕円 20">
          <a:extLst>
            <a:ext uri="{FF2B5EF4-FFF2-40B4-BE49-F238E27FC236}">
              <a16:creationId xmlns:a16="http://schemas.microsoft.com/office/drawing/2014/main" id="{E5A3EDF0-372C-4C15-89EF-CC46AC6C2DF9}"/>
            </a:ext>
          </a:extLst>
        </xdr:cNvPr>
        <xdr:cNvSpPr/>
      </xdr:nvSpPr>
      <xdr:spPr>
        <a:xfrm>
          <a:off x="4260158" y="8326785"/>
          <a:ext cx="1169367"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820393</xdr:colOff>
      <xdr:row>37</xdr:row>
      <xdr:rowOff>140807</xdr:rowOff>
    </xdr:from>
    <xdr:to>
      <xdr:col>8</xdr:col>
      <xdr:colOff>296668</xdr:colOff>
      <xdr:row>41</xdr:row>
      <xdr:rowOff>76200</xdr:rowOff>
    </xdr:to>
    <xdr:sp macro="" textlink="">
      <xdr:nvSpPr>
        <xdr:cNvPr id="22" name="テキスト ボックス 21">
          <a:extLst>
            <a:ext uri="{FF2B5EF4-FFF2-40B4-BE49-F238E27FC236}">
              <a16:creationId xmlns:a16="http://schemas.microsoft.com/office/drawing/2014/main" id="{2E164BAE-E25B-4406-97EB-60482598AB16}"/>
            </a:ext>
          </a:extLst>
        </xdr:cNvPr>
        <xdr:cNvSpPr txBox="1"/>
      </xdr:nvSpPr>
      <xdr:spPr>
        <a:xfrm>
          <a:off x="1477618" y="8964132"/>
          <a:ext cx="4816625" cy="84661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■日使用時間および年間使用日数は、実際に設備を使用している時間及び日数を入力してください。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2,000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　（白色のセルは自動計算されます）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47625</xdr:colOff>
      <xdr:row>36</xdr:row>
      <xdr:rowOff>46523</xdr:rowOff>
    </xdr:from>
    <xdr:to>
      <xdr:col>6</xdr:col>
      <xdr:colOff>253792</xdr:colOff>
      <xdr:row>37</xdr:row>
      <xdr:rowOff>152400</xdr:rowOff>
    </xdr:to>
    <xdr:cxnSp macro="">
      <xdr:nvCxnSpPr>
        <xdr:cNvPr id="23" name="直線矢印コネクタ 22">
          <a:extLst>
            <a:ext uri="{FF2B5EF4-FFF2-40B4-BE49-F238E27FC236}">
              <a16:creationId xmlns:a16="http://schemas.microsoft.com/office/drawing/2014/main" id="{C6F856AC-A7EB-4313-9E58-E9C513C4898B}"/>
            </a:ext>
          </a:extLst>
        </xdr:cNvPr>
        <xdr:cNvCxnSpPr>
          <a:endCxn id="21" idx="4"/>
        </xdr:cNvCxnSpPr>
      </xdr:nvCxnSpPr>
      <xdr:spPr>
        <a:xfrm flipV="1">
          <a:off x="4635500" y="8641248"/>
          <a:ext cx="212517" cy="33130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74544</xdr:colOff>
      <xdr:row>34</xdr:row>
      <xdr:rowOff>198785</xdr:rowOff>
    </xdr:from>
    <xdr:to>
      <xdr:col>10</xdr:col>
      <xdr:colOff>91109</xdr:colOff>
      <xdr:row>36</xdr:row>
      <xdr:rowOff>49698</xdr:rowOff>
    </xdr:to>
    <xdr:sp macro="" textlink="">
      <xdr:nvSpPr>
        <xdr:cNvPr id="24" name="楕円 23">
          <a:extLst>
            <a:ext uri="{FF2B5EF4-FFF2-40B4-BE49-F238E27FC236}">
              <a16:creationId xmlns:a16="http://schemas.microsoft.com/office/drawing/2014/main" id="{02F957F5-21BB-4CF6-A728-6253B21F1D6B}"/>
            </a:ext>
          </a:extLst>
        </xdr:cNvPr>
        <xdr:cNvSpPr/>
      </xdr:nvSpPr>
      <xdr:spPr>
        <a:xfrm>
          <a:off x="6732519" y="8326785"/>
          <a:ext cx="699190"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685800</xdr:colOff>
      <xdr:row>36</xdr:row>
      <xdr:rowOff>46523</xdr:rowOff>
    </xdr:from>
    <xdr:to>
      <xdr:col>9</xdr:col>
      <xdr:colOff>424139</xdr:colOff>
      <xdr:row>37</xdr:row>
      <xdr:rowOff>133350</xdr:rowOff>
    </xdr:to>
    <xdr:cxnSp macro="">
      <xdr:nvCxnSpPr>
        <xdr:cNvPr id="25" name="直線矢印コネクタ 24">
          <a:extLst>
            <a:ext uri="{FF2B5EF4-FFF2-40B4-BE49-F238E27FC236}">
              <a16:creationId xmlns:a16="http://schemas.microsoft.com/office/drawing/2014/main" id="{E065E8E4-1BBC-412A-9066-6E2C75164899}"/>
            </a:ext>
          </a:extLst>
        </xdr:cNvPr>
        <xdr:cNvCxnSpPr>
          <a:endCxn id="24" idx="4"/>
        </xdr:cNvCxnSpPr>
      </xdr:nvCxnSpPr>
      <xdr:spPr>
        <a:xfrm flipV="1">
          <a:off x="5276850" y="8641248"/>
          <a:ext cx="1808439" cy="31225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38100</xdr:colOff>
      <xdr:row>23</xdr:row>
      <xdr:rowOff>25677</xdr:rowOff>
    </xdr:from>
    <xdr:to>
      <xdr:col>14</xdr:col>
      <xdr:colOff>195262</xdr:colOff>
      <xdr:row>30</xdr:row>
      <xdr:rowOff>216453</xdr:rowOff>
    </xdr:to>
    <xdr:sp macro="" textlink="">
      <xdr:nvSpPr>
        <xdr:cNvPr id="26" name="テキスト ボックス 25">
          <a:extLst>
            <a:ext uri="{FF2B5EF4-FFF2-40B4-BE49-F238E27FC236}">
              <a16:creationId xmlns:a16="http://schemas.microsoft.com/office/drawing/2014/main" id="{AF93BED5-DEB8-4674-A696-AF18CD440158}"/>
            </a:ext>
          </a:extLst>
        </xdr:cNvPr>
        <xdr:cNvSpPr txBox="1"/>
      </xdr:nvSpPr>
      <xdr:spPr>
        <a:xfrm>
          <a:off x="6038850" y="5524777"/>
          <a:ext cx="4132262" cy="17909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■人感センサが導入されている、または更新により導入する場合</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・人感センサの列で「○」を選択してください。使用率のセルが入力色に変わります。人感センサ等による削減効果を反映させた使用率を入力してください。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使用率は人感センサ等による自動制御のみ考慮します。人による運用対策（昼休み中に職員が消灯して</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％）等は含みません。</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381000</xdr:colOff>
      <xdr:row>30</xdr:row>
      <xdr:rowOff>219628</xdr:rowOff>
    </xdr:from>
    <xdr:to>
      <xdr:col>11</xdr:col>
      <xdr:colOff>103981</xdr:colOff>
      <xdr:row>33</xdr:row>
      <xdr:rowOff>0</xdr:rowOff>
    </xdr:to>
    <xdr:cxnSp macro="">
      <xdr:nvCxnSpPr>
        <xdr:cNvPr id="27" name="直線矢印コネクタ 26">
          <a:extLst>
            <a:ext uri="{FF2B5EF4-FFF2-40B4-BE49-F238E27FC236}">
              <a16:creationId xmlns:a16="http://schemas.microsoft.com/office/drawing/2014/main" id="{2846F748-BD24-4F8D-93E4-7174748A9AB9}"/>
            </a:ext>
          </a:extLst>
        </xdr:cNvPr>
        <xdr:cNvCxnSpPr>
          <a:stCxn id="26" idx="2"/>
        </xdr:cNvCxnSpPr>
      </xdr:nvCxnSpPr>
      <xdr:spPr>
        <a:xfrm flipH="1">
          <a:off x="6381750" y="7312578"/>
          <a:ext cx="1726406" cy="4788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103981</xdr:colOff>
      <xdr:row>30</xdr:row>
      <xdr:rowOff>219628</xdr:rowOff>
    </xdr:from>
    <xdr:to>
      <xdr:col>15</xdr:col>
      <xdr:colOff>273050</xdr:colOff>
      <xdr:row>33</xdr:row>
      <xdr:rowOff>19050</xdr:rowOff>
    </xdr:to>
    <xdr:cxnSp macro="">
      <xdr:nvCxnSpPr>
        <xdr:cNvPr id="28" name="直線矢印コネクタ 27">
          <a:extLst>
            <a:ext uri="{FF2B5EF4-FFF2-40B4-BE49-F238E27FC236}">
              <a16:creationId xmlns:a16="http://schemas.microsoft.com/office/drawing/2014/main" id="{34CB449B-9B2A-4B0D-A3E8-CC94C85EA3B4}"/>
            </a:ext>
          </a:extLst>
        </xdr:cNvPr>
        <xdr:cNvCxnSpPr>
          <a:stCxn id="26" idx="2"/>
        </xdr:cNvCxnSpPr>
      </xdr:nvCxnSpPr>
      <xdr:spPr>
        <a:xfrm>
          <a:off x="8108156" y="7312578"/>
          <a:ext cx="2797969" cy="49792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361950</xdr:colOff>
      <xdr:row>34</xdr:row>
      <xdr:rowOff>219075</xdr:rowOff>
    </xdr:from>
    <xdr:to>
      <xdr:col>14</xdr:col>
      <xdr:colOff>106493</xdr:colOff>
      <xdr:row>36</xdr:row>
      <xdr:rowOff>69988</xdr:rowOff>
    </xdr:to>
    <xdr:sp macro="" textlink="">
      <xdr:nvSpPr>
        <xdr:cNvPr id="29" name="楕円 28">
          <a:extLst>
            <a:ext uri="{FF2B5EF4-FFF2-40B4-BE49-F238E27FC236}">
              <a16:creationId xmlns:a16="http://schemas.microsoft.com/office/drawing/2014/main" id="{83DC3819-23E7-4505-B726-8C88C6C59793}"/>
            </a:ext>
          </a:extLst>
        </xdr:cNvPr>
        <xdr:cNvSpPr/>
      </xdr:nvSpPr>
      <xdr:spPr>
        <a:xfrm>
          <a:off x="9677400" y="8340725"/>
          <a:ext cx="398593"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114300</xdr:colOff>
      <xdr:row>37</xdr:row>
      <xdr:rowOff>142877</xdr:rowOff>
    </xdr:from>
    <xdr:to>
      <xdr:col>21</xdr:col>
      <xdr:colOff>439239</xdr:colOff>
      <xdr:row>43</xdr:row>
      <xdr:rowOff>0</xdr:rowOff>
    </xdr:to>
    <xdr:sp macro="" textlink="">
      <xdr:nvSpPr>
        <xdr:cNvPr id="30" name="テキスト ボックス 29">
          <a:extLst>
            <a:ext uri="{FF2B5EF4-FFF2-40B4-BE49-F238E27FC236}">
              <a16:creationId xmlns:a16="http://schemas.microsoft.com/office/drawing/2014/main" id="{2B79AED4-F4C5-49DE-A10D-6EE0C871FD86}"/>
            </a:ext>
          </a:extLst>
        </xdr:cNvPr>
        <xdr:cNvSpPr txBox="1"/>
      </xdr:nvSpPr>
      <xdr:spPr>
        <a:xfrm>
          <a:off x="10086975" y="8959852"/>
          <a:ext cx="5554164" cy="123189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・省エネモード、最高・最低能力等は用いないでください。</a:t>
          </a:r>
        </a:p>
        <a:p>
          <a:r>
            <a:rPr kumimoji="1" lang="ja-JP" altLang="en-US" sz="1100">
              <a:latin typeface="ＭＳ Ｐゴシック" panose="020B0600070205080204" pitchFamily="50" charset="-128"/>
              <a:ea typeface="ＭＳ Ｐゴシック" panose="020B0600070205080204" pitchFamily="50" charset="-128"/>
            </a:rPr>
            <a:t>・一般的な定格電圧は</a:t>
          </a:r>
          <a:r>
            <a:rPr kumimoji="1" lang="en-US" altLang="ja-JP" sz="1100">
              <a:latin typeface="ＭＳ Ｐゴシック" panose="020B0600070205080204" pitchFamily="50" charset="-128"/>
              <a:ea typeface="ＭＳ Ｐゴシック" panose="020B0600070205080204" pitchFamily="50" charset="-128"/>
            </a:rPr>
            <a:t>100V</a:t>
          </a:r>
          <a:r>
            <a:rPr kumimoji="1" lang="ja-JP" altLang="en-US" sz="1100">
              <a:latin typeface="ＭＳ Ｐゴシック" panose="020B0600070205080204" pitchFamily="50" charset="-128"/>
              <a:ea typeface="ＭＳ Ｐゴシック" panose="020B0600070205080204" pitchFamily="50" charset="-128"/>
            </a:rPr>
            <a:t>ですが、工場等で</a:t>
          </a:r>
          <a:r>
            <a:rPr kumimoji="1" lang="en-US" altLang="ja-JP" sz="1100">
              <a:latin typeface="ＭＳ Ｐゴシック" panose="020B0600070205080204" pitchFamily="50" charset="-128"/>
              <a:ea typeface="ＭＳ Ｐゴシック" panose="020B0600070205080204" pitchFamily="50" charset="-128"/>
            </a:rPr>
            <a:t>200V</a:t>
          </a:r>
          <a:r>
            <a:rPr kumimoji="1" lang="ja-JP" altLang="en-US" sz="1100">
              <a:latin typeface="ＭＳ Ｐゴシック" panose="020B0600070205080204" pitchFamily="50" charset="-128"/>
              <a:ea typeface="ＭＳ Ｐゴシック" panose="020B0600070205080204" pitchFamily="50" charset="-128"/>
            </a:rPr>
            <a:t>等の場合は、該当する電圧の定格能力を入力してください。</a:t>
          </a:r>
        </a:p>
      </xdr:txBody>
    </xdr:sp>
    <xdr:clientData/>
  </xdr:twoCellAnchor>
  <xdr:twoCellAnchor>
    <xdr:from>
      <xdr:col>10</xdr:col>
      <xdr:colOff>600075</xdr:colOff>
      <xdr:row>41</xdr:row>
      <xdr:rowOff>190500</xdr:rowOff>
    </xdr:from>
    <xdr:to>
      <xdr:col>11</xdr:col>
      <xdr:colOff>523875</xdr:colOff>
      <xdr:row>43</xdr:row>
      <xdr:rowOff>50938</xdr:rowOff>
    </xdr:to>
    <xdr:sp macro="" textlink="">
      <xdr:nvSpPr>
        <xdr:cNvPr id="31" name="楕円 30">
          <a:extLst>
            <a:ext uri="{FF2B5EF4-FFF2-40B4-BE49-F238E27FC236}">
              <a16:creationId xmlns:a16="http://schemas.microsoft.com/office/drawing/2014/main" id="{D5CE8596-6476-47D3-B99C-FB332D9E90CE}"/>
            </a:ext>
          </a:extLst>
        </xdr:cNvPr>
        <xdr:cNvSpPr/>
      </xdr:nvSpPr>
      <xdr:spPr>
        <a:xfrm>
          <a:off x="7940675" y="9925050"/>
          <a:ext cx="58102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44945</xdr:colOff>
      <xdr:row>36</xdr:row>
      <xdr:rowOff>20296</xdr:rowOff>
    </xdr:from>
    <xdr:to>
      <xdr:col>14</xdr:col>
      <xdr:colOff>552450</xdr:colOff>
      <xdr:row>37</xdr:row>
      <xdr:rowOff>135875</xdr:rowOff>
    </xdr:to>
    <xdr:cxnSp macro="">
      <xdr:nvCxnSpPr>
        <xdr:cNvPr id="32" name="直線矢印コネクタ 31">
          <a:extLst>
            <a:ext uri="{FF2B5EF4-FFF2-40B4-BE49-F238E27FC236}">
              <a16:creationId xmlns:a16="http://schemas.microsoft.com/office/drawing/2014/main" id="{F2438756-79DA-4DF0-BFB6-F54E5EBE06C2}"/>
            </a:ext>
          </a:extLst>
        </xdr:cNvPr>
        <xdr:cNvCxnSpPr>
          <a:endCxn id="29" idx="5"/>
        </xdr:cNvCxnSpPr>
      </xdr:nvCxnSpPr>
      <xdr:spPr>
        <a:xfrm flipH="1" flipV="1">
          <a:off x="10020795" y="8611846"/>
          <a:ext cx="504330" cy="34417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435611</xdr:colOff>
      <xdr:row>36</xdr:row>
      <xdr:rowOff>20296</xdr:rowOff>
    </xdr:from>
    <xdr:to>
      <xdr:col>13</xdr:col>
      <xdr:colOff>420323</xdr:colOff>
      <xdr:row>42</xdr:row>
      <xdr:rowOff>7952</xdr:rowOff>
    </xdr:to>
    <xdr:cxnSp macro="">
      <xdr:nvCxnSpPr>
        <xdr:cNvPr id="33" name="直線矢印コネクタ 32">
          <a:extLst>
            <a:ext uri="{FF2B5EF4-FFF2-40B4-BE49-F238E27FC236}">
              <a16:creationId xmlns:a16="http://schemas.microsoft.com/office/drawing/2014/main" id="{90E5F49B-5C9F-42C3-BEFE-553F422A3463}"/>
            </a:ext>
          </a:extLst>
        </xdr:cNvPr>
        <xdr:cNvCxnSpPr>
          <a:stCxn id="31" idx="7"/>
          <a:endCxn id="29" idx="3"/>
        </xdr:cNvCxnSpPr>
      </xdr:nvCxnSpPr>
      <xdr:spPr>
        <a:xfrm flipV="1">
          <a:off x="8436611" y="8611846"/>
          <a:ext cx="1299162" cy="136243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787400</xdr:colOff>
      <xdr:row>49</xdr:row>
      <xdr:rowOff>149225</xdr:rowOff>
    </xdr:from>
    <xdr:to>
      <xdr:col>5</xdr:col>
      <xdr:colOff>66675</xdr:colOff>
      <xdr:row>51</xdr:row>
      <xdr:rowOff>82550</xdr:rowOff>
    </xdr:to>
    <xdr:sp macro="" textlink="">
      <xdr:nvSpPr>
        <xdr:cNvPr id="34" name="楕円 33">
          <a:extLst>
            <a:ext uri="{FF2B5EF4-FFF2-40B4-BE49-F238E27FC236}">
              <a16:creationId xmlns:a16="http://schemas.microsoft.com/office/drawing/2014/main" id="{5FFBE82D-FB35-4924-859A-9EC5C13EE819}"/>
            </a:ext>
          </a:extLst>
        </xdr:cNvPr>
        <xdr:cNvSpPr/>
      </xdr:nvSpPr>
      <xdr:spPr>
        <a:xfrm>
          <a:off x="1444625" y="13150850"/>
          <a:ext cx="2555875"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561974</xdr:colOff>
      <xdr:row>45</xdr:row>
      <xdr:rowOff>47626</xdr:rowOff>
    </xdr:from>
    <xdr:to>
      <xdr:col>13</xdr:col>
      <xdr:colOff>38100</xdr:colOff>
      <xdr:row>49</xdr:row>
      <xdr:rowOff>95251</xdr:rowOff>
    </xdr:to>
    <xdr:sp macro="" textlink="">
      <xdr:nvSpPr>
        <xdr:cNvPr id="35" name="テキスト ボックス 34">
          <a:extLst>
            <a:ext uri="{FF2B5EF4-FFF2-40B4-BE49-F238E27FC236}">
              <a16:creationId xmlns:a16="http://schemas.microsoft.com/office/drawing/2014/main" id="{A03C126C-DA42-446D-BD16-1D2E195D5B6D}"/>
            </a:ext>
          </a:extLst>
        </xdr:cNvPr>
        <xdr:cNvSpPr txBox="1"/>
      </xdr:nvSpPr>
      <xdr:spPr>
        <a:xfrm>
          <a:off x="3032124" y="12065001"/>
          <a:ext cx="6321426" cy="103187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■負荷率は冷房時</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％、暖房時</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％を初期値としています。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負荷率を把握していない場合は、そのまま使用してください。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省エネ診断や施工事業者の測定等により負荷率を把握している場合は、その値を入力してください。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把握している値が複数ある場合は、全体平均を求めるなど、一つの値に整理してください。</a:t>
          </a:r>
        </a:p>
      </xdr:txBody>
    </xdr:sp>
    <xdr:clientData/>
  </xdr:twoCellAnchor>
  <xdr:twoCellAnchor>
    <xdr:from>
      <xdr:col>3</xdr:col>
      <xdr:colOff>255588</xdr:colOff>
      <xdr:row>47</xdr:row>
      <xdr:rowOff>36514</xdr:rowOff>
    </xdr:from>
    <xdr:to>
      <xdr:col>3</xdr:col>
      <xdr:colOff>565149</xdr:colOff>
      <xdr:row>49</xdr:row>
      <xdr:rowOff>149225</xdr:rowOff>
    </xdr:to>
    <xdr:cxnSp macro="">
      <xdr:nvCxnSpPr>
        <xdr:cNvPr id="36" name="直線矢印コネクタ 35">
          <a:extLst>
            <a:ext uri="{FF2B5EF4-FFF2-40B4-BE49-F238E27FC236}">
              <a16:creationId xmlns:a16="http://schemas.microsoft.com/office/drawing/2014/main" id="{441F70EB-D55B-465F-9FC6-D1B73B02ADDC}"/>
            </a:ext>
          </a:extLst>
        </xdr:cNvPr>
        <xdr:cNvCxnSpPr>
          <a:stCxn id="35" idx="1"/>
          <a:endCxn id="34" idx="0"/>
        </xdr:cNvCxnSpPr>
      </xdr:nvCxnSpPr>
      <xdr:spPr>
        <a:xfrm flipH="1">
          <a:off x="2722563" y="12580939"/>
          <a:ext cx="309561" cy="5699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142875</xdr:colOff>
      <xdr:row>56</xdr:row>
      <xdr:rowOff>198368</xdr:rowOff>
    </xdr:from>
    <xdr:to>
      <xdr:col>4</xdr:col>
      <xdr:colOff>159440</xdr:colOff>
      <xdr:row>58</xdr:row>
      <xdr:rowOff>58806</xdr:rowOff>
    </xdr:to>
    <xdr:sp macro="" textlink="">
      <xdr:nvSpPr>
        <xdr:cNvPr id="37" name="楕円 36">
          <a:extLst>
            <a:ext uri="{FF2B5EF4-FFF2-40B4-BE49-F238E27FC236}">
              <a16:creationId xmlns:a16="http://schemas.microsoft.com/office/drawing/2014/main" id="{320EC1EF-BE62-44AD-BB04-DE2CE500121B}"/>
            </a:ext>
          </a:extLst>
        </xdr:cNvPr>
        <xdr:cNvSpPr/>
      </xdr:nvSpPr>
      <xdr:spPr>
        <a:xfrm>
          <a:off x="2606675" y="15403443"/>
          <a:ext cx="832540"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190499</xdr:colOff>
      <xdr:row>56</xdr:row>
      <xdr:rowOff>147638</xdr:rowOff>
    </xdr:from>
    <xdr:to>
      <xdr:col>8</xdr:col>
      <xdr:colOff>28574</xdr:colOff>
      <xdr:row>58</xdr:row>
      <xdr:rowOff>100013</xdr:rowOff>
    </xdr:to>
    <xdr:sp macro="" textlink="">
      <xdr:nvSpPr>
        <xdr:cNvPr id="38" name="楕円 37">
          <a:extLst>
            <a:ext uri="{FF2B5EF4-FFF2-40B4-BE49-F238E27FC236}">
              <a16:creationId xmlns:a16="http://schemas.microsoft.com/office/drawing/2014/main" id="{87C57FB6-ED0D-46D2-B58A-A13637FE09CC}"/>
            </a:ext>
          </a:extLst>
        </xdr:cNvPr>
        <xdr:cNvSpPr/>
      </xdr:nvSpPr>
      <xdr:spPr>
        <a:xfrm>
          <a:off x="4781549" y="15346363"/>
          <a:ext cx="12509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285750</xdr:colOff>
      <xdr:row>56</xdr:row>
      <xdr:rowOff>147638</xdr:rowOff>
    </xdr:from>
    <xdr:to>
      <xdr:col>10</xdr:col>
      <xdr:colOff>123825</xdr:colOff>
      <xdr:row>58</xdr:row>
      <xdr:rowOff>100013</xdr:rowOff>
    </xdr:to>
    <xdr:sp macro="" textlink="">
      <xdr:nvSpPr>
        <xdr:cNvPr id="39" name="楕円 38">
          <a:extLst>
            <a:ext uri="{FF2B5EF4-FFF2-40B4-BE49-F238E27FC236}">
              <a16:creationId xmlns:a16="http://schemas.microsoft.com/office/drawing/2014/main" id="{AF90EEE5-A6C8-41C9-B6BC-8FACD4C3E5B6}"/>
            </a:ext>
          </a:extLst>
        </xdr:cNvPr>
        <xdr:cNvSpPr/>
      </xdr:nvSpPr>
      <xdr:spPr>
        <a:xfrm>
          <a:off x="6286500" y="15346363"/>
          <a:ext cx="11779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577850</xdr:colOff>
      <xdr:row>60</xdr:row>
      <xdr:rowOff>19050</xdr:rowOff>
    </xdr:from>
    <xdr:to>
      <xdr:col>8</xdr:col>
      <xdr:colOff>50630</xdr:colOff>
      <xdr:row>67</xdr:row>
      <xdr:rowOff>85725</xdr:rowOff>
    </xdr:to>
    <xdr:sp macro="" textlink="">
      <xdr:nvSpPr>
        <xdr:cNvPr id="40" name="テキスト ボックス 39">
          <a:extLst>
            <a:ext uri="{FF2B5EF4-FFF2-40B4-BE49-F238E27FC236}">
              <a16:creationId xmlns:a16="http://schemas.microsoft.com/office/drawing/2014/main" id="{D2C3A3C6-AC04-4A08-AEDD-C518AD8BDA7F}"/>
            </a:ext>
          </a:extLst>
        </xdr:cNvPr>
        <xdr:cNvSpPr txBox="1"/>
      </xdr:nvSpPr>
      <xdr:spPr>
        <a:xfrm>
          <a:off x="1238250" y="16135350"/>
          <a:ext cx="4809955" cy="16827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40692</xdr:colOff>
      <xdr:row>58</xdr:row>
      <xdr:rowOff>12754</xdr:rowOff>
    </xdr:from>
    <xdr:to>
      <xdr:col>4</xdr:col>
      <xdr:colOff>366628</xdr:colOff>
      <xdr:row>60</xdr:row>
      <xdr:rowOff>19050</xdr:rowOff>
    </xdr:to>
    <xdr:cxnSp macro="">
      <xdr:nvCxnSpPr>
        <xdr:cNvPr id="41" name="直線矢印コネクタ 40">
          <a:extLst>
            <a:ext uri="{FF2B5EF4-FFF2-40B4-BE49-F238E27FC236}">
              <a16:creationId xmlns:a16="http://schemas.microsoft.com/office/drawing/2014/main" id="{41BDC079-15BB-434F-84FB-DA2BF6AD89B5}"/>
            </a:ext>
          </a:extLst>
        </xdr:cNvPr>
        <xdr:cNvCxnSpPr>
          <a:stCxn id="40" idx="0"/>
          <a:endCxn id="37" idx="5"/>
        </xdr:cNvCxnSpPr>
      </xdr:nvCxnSpPr>
      <xdr:spPr>
        <a:xfrm flipH="1" flipV="1">
          <a:off x="3317292" y="15668679"/>
          <a:ext cx="329111" cy="46667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0</xdr:colOff>
      <xdr:row>58</xdr:row>
      <xdr:rowOff>37242</xdr:rowOff>
    </xdr:from>
    <xdr:to>
      <xdr:col>6</xdr:col>
      <xdr:colOff>367652</xdr:colOff>
      <xdr:row>60</xdr:row>
      <xdr:rowOff>9525</xdr:rowOff>
    </xdr:to>
    <xdr:cxnSp macro="">
      <xdr:nvCxnSpPr>
        <xdr:cNvPr id="42" name="直線矢印コネクタ 41">
          <a:extLst>
            <a:ext uri="{FF2B5EF4-FFF2-40B4-BE49-F238E27FC236}">
              <a16:creationId xmlns:a16="http://schemas.microsoft.com/office/drawing/2014/main" id="{C1FFD098-BAEA-49BE-B682-561C53E21667}"/>
            </a:ext>
          </a:extLst>
        </xdr:cNvPr>
        <xdr:cNvCxnSpPr>
          <a:endCxn id="38" idx="3"/>
        </xdr:cNvCxnSpPr>
      </xdr:nvCxnSpPr>
      <xdr:spPr>
        <a:xfrm flipV="1">
          <a:off x="4591050" y="15696342"/>
          <a:ext cx="370827" cy="42630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393699</xdr:colOff>
      <xdr:row>49</xdr:row>
      <xdr:rowOff>196850</xdr:rowOff>
    </xdr:from>
    <xdr:to>
      <xdr:col>16</xdr:col>
      <xdr:colOff>654050</xdr:colOff>
      <xdr:row>52</xdr:row>
      <xdr:rowOff>152401</xdr:rowOff>
    </xdr:to>
    <xdr:sp macro="" textlink="">
      <xdr:nvSpPr>
        <xdr:cNvPr id="43" name="テキスト ボックス 42">
          <a:extLst>
            <a:ext uri="{FF2B5EF4-FFF2-40B4-BE49-F238E27FC236}">
              <a16:creationId xmlns:a16="http://schemas.microsoft.com/office/drawing/2014/main" id="{37261364-AE63-43BB-9B81-459746C7A74A}"/>
            </a:ext>
          </a:extLst>
        </xdr:cNvPr>
        <xdr:cNvSpPr txBox="1"/>
      </xdr:nvSpPr>
      <xdr:spPr>
        <a:xfrm>
          <a:off x="4981574" y="13201650"/>
          <a:ext cx="6962776" cy="6381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■使用時間・日数は、実際に設備を稼働している時間と日数を入力してください。</a:t>
          </a: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baseline="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月に冷房　→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日　＝　</a:t>
          </a:r>
          <a:r>
            <a:rPr kumimoji="1" lang="en-US" altLang="ja-JP" sz="1100">
              <a:latin typeface="ＭＳ Ｐゴシック" panose="020B0600070205080204" pitchFamily="50" charset="-128"/>
              <a:ea typeface="ＭＳ Ｐゴシック" panose="020B0600070205080204" pitchFamily="50" charset="-128"/>
            </a:rPr>
            <a:t>480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p>
        <a:p>
          <a:r>
            <a:rPr kumimoji="1" lang="en-US" altLang="ja-JP" sz="11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月に暖房　→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日　＝　</a:t>
          </a:r>
          <a:r>
            <a:rPr kumimoji="1" lang="en-US" altLang="ja-JP" sz="1100">
              <a:latin typeface="ＭＳ Ｐゴシック" panose="020B0600070205080204" pitchFamily="50" charset="-128"/>
              <a:ea typeface="ＭＳ Ｐゴシック" panose="020B0600070205080204" pitchFamily="50" charset="-128"/>
            </a:rPr>
            <a:t>720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p>
      </xdr:txBody>
    </xdr:sp>
    <xdr:clientData/>
  </xdr:twoCellAnchor>
  <xdr:twoCellAnchor>
    <xdr:from>
      <xdr:col>13</xdr:col>
      <xdr:colOff>285750</xdr:colOff>
      <xdr:row>56</xdr:row>
      <xdr:rowOff>147638</xdr:rowOff>
    </xdr:from>
    <xdr:to>
      <xdr:col>15</xdr:col>
      <xdr:colOff>123825</xdr:colOff>
      <xdr:row>58</xdr:row>
      <xdr:rowOff>100013</xdr:rowOff>
    </xdr:to>
    <xdr:sp macro="" textlink="">
      <xdr:nvSpPr>
        <xdr:cNvPr id="44" name="楕円 43">
          <a:extLst>
            <a:ext uri="{FF2B5EF4-FFF2-40B4-BE49-F238E27FC236}">
              <a16:creationId xmlns:a16="http://schemas.microsoft.com/office/drawing/2014/main" id="{8DCDC614-4472-4081-AD11-16F398F70265}"/>
            </a:ext>
          </a:extLst>
        </xdr:cNvPr>
        <xdr:cNvSpPr/>
      </xdr:nvSpPr>
      <xdr:spPr>
        <a:xfrm>
          <a:off x="9601200" y="15346363"/>
          <a:ext cx="11493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201613</xdr:colOff>
      <xdr:row>52</xdr:row>
      <xdr:rowOff>152400</xdr:rowOff>
    </xdr:from>
    <xdr:to>
      <xdr:col>9</xdr:col>
      <xdr:colOff>438326</xdr:colOff>
      <xdr:row>56</xdr:row>
      <xdr:rowOff>144463</xdr:rowOff>
    </xdr:to>
    <xdr:cxnSp macro="">
      <xdr:nvCxnSpPr>
        <xdr:cNvPr id="45" name="直線矢印コネクタ 44">
          <a:extLst>
            <a:ext uri="{FF2B5EF4-FFF2-40B4-BE49-F238E27FC236}">
              <a16:creationId xmlns:a16="http://schemas.microsoft.com/office/drawing/2014/main" id="{B5A1ACEB-3EBC-4A02-AC8F-6C3247D54CF5}"/>
            </a:ext>
          </a:extLst>
        </xdr:cNvPr>
        <xdr:cNvCxnSpPr/>
      </xdr:nvCxnSpPr>
      <xdr:spPr>
        <a:xfrm flipH="1">
          <a:off x="6856413" y="13839825"/>
          <a:ext cx="239888" cy="15033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190500</xdr:colOff>
      <xdr:row>66</xdr:row>
      <xdr:rowOff>190501</xdr:rowOff>
    </xdr:from>
    <xdr:to>
      <xdr:col>19</xdr:col>
      <xdr:colOff>57150</xdr:colOff>
      <xdr:row>69</xdr:row>
      <xdr:rowOff>66676</xdr:rowOff>
    </xdr:to>
    <xdr:sp macro="" textlink="">
      <xdr:nvSpPr>
        <xdr:cNvPr id="46" name="楕円 45">
          <a:extLst>
            <a:ext uri="{FF2B5EF4-FFF2-40B4-BE49-F238E27FC236}">
              <a16:creationId xmlns:a16="http://schemas.microsoft.com/office/drawing/2014/main" id="{E847744E-360E-4103-90C3-52DD2ABAD770}"/>
            </a:ext>
          </a:extLst>
        </xdr:cNvPr>
        <xdr:cNvSpPr/>
      </xdr:nvSpPr>
      <xdr:spPr>
        <a:xfrm>
          <a:off x="12963525" y="16316326"/>
          <a:ext cx="971550" cy="571500"/>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66</xdr:row>
      <xdr:rowOff>47625</xdr:rowOff>
    </xdr:from>
    <xdr:to>
      <xdr:col>25</xdr:col>
      <xdr:colOff>666750</xdr:colOff>
      <xdr:row>68</xdr:row>
      <xdr:rowOff>123826</xdr:rowOff>
    </xdr:to>
    <xdr:sp macro="" textlink="">
      <xdr:nvSpPr>
        <xdr:cNvPr id="47" name="テキスト ボックス 46">
          <a:extLst>
            <a:ext uri="{FF2B5EF4-FFF2-40B4-BE49-F238E27FC236}">
              <a16:creationId xmlns:a16="http://schemas.microsoft.com/office/drawing/2014/main" id="{D0A32612-1D98-4851-87A6-3697E78A233A}"/>
            </a:ext>
          </a:extLst>
        </xdr:cNvPr>
        <xdr:cNvSpPr txBox="1"/>
      </xdr:nvSpPr>
      <xdr:spPr>
        <a:xfrm>
          <a:off x="15392400" y="17541875"/>
          <a:ext cx="4219575" cy="542926"/>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最大・中間・最低能力、低温能力など、定格以外の能力では算定しないでください。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171450</xdr:colOff>
      <xdr:row>60</xdr:row>
      <xdr:rowOff>9525</xdr:rowOff>
    </xdr:from>
    <xdr:to>
      <xdr:col>24</xdr:col>
      <xdr:colOff>133350</xdr:colOff>
      <xdr:row>61</xdr:row>
      <xdr:rowOff>190500</xdr:rowOff>
    </xdr:to>
    <xdr:sp macro="" textlink="">
      <xdr:nvSpPr>
        <xdr:cNvPr id="48" name="テキスト ボックス 47">
          <a:extLst>
            <a:ext uri="{FF2B5EF4-FFF2-40B4-BE49-F238E27FC236}">
              <a16:creationId xmlns:a16="http://schemas.microsoft.com/office/drawing/2014/main" id="{70B76F4B-EB50-414F-9EC5-CCCCB6951F7B}"/>
            </a:ext>
          </a:extLst>
        </xdr:cNvPr>
        <xdr:cNvSpPr txBox="1"/>
      </xdr:nvSpPr>
      <xdr:spPr>
        <a:xfrm>
          <a:off x="15373350" y="16122650"/>
          <a:ext cx="3057525" cy="4127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■定格能力・消費電力を入力してください。</a:t>
          </a:r>
        </a:p>
      </xdr:txBody>
    </xdr:sp>
    <xdr:clientData/>
  </xdr:twoCellAnchor>
  <xdr:twoCellAnchor>
    <xdr:from>
      <xdr:col>19</xdr:col>
      <xdr:colOff>628650</xdr:colOff>
      <xdr:row>56</xdr:row>
      <xdr:rowOff>141288</xdr:rowOff>
    </xdr:from>
    <xdr:to>
      <xdr:col>22</xdr:col>
      <xdr:colOff>139700</xdr:colOff>
      <xdr:row>58</xdr:row>
      <xdr:rowOff>106363</xdr:rowOff>
    </xdr:to>
    <xdr:sp macro="" textlink="">
      <xdr:nvSpPr>
        <xdr:cNvPr id="49" name="楕円 48">
          <a:extLst>
            <a:ext uri="{FF2B5EF4-FFF2-40B4-BE49-F238E27FC236}">
              <a16:creationId xmlns:a16="http://schemas.microsoft.com/office/drawing/2014/main" id="{9C1739AC-A918-464D-A4CA-7D5BA0D393BB}"/>
            </a:ext>
          </a:extLst>
        </xdr:cNvPr>
        <xdr:cNvSpPr/>
      </xdr:nvSpPr>
      <xdr:spPr>
        <a:xfrm>
          <a:off x="14335125" y="15346363"/>
          <a:ext cx="27908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228600</xdr:colOff>
      <xdr:row>56</xdr:row>
      <xdr:rowOff>147638</xdr:rowOff>
    </xdr:from>
    <xdr:to>
      <xdr:col>25</xdr:col>
      <xdr:colOff>66675</xdr:colOff>
      <xdr:row>58</xdr:row>
      <xdr:rowOff>100013</xdr:rowOff>
    </xdr:to>
    <xdr:sp macro="" textlink="">
      <xdr:nvSpPr>
        <xdr:cNvPr id="50" name="楕円 49">
          <a:extLst>
            <a:ext uri="{FF2B5EF4-FFF2-40B4-BE49-F238E27FC236}">
              <a16:creationId xmlns:a16="http://schemas.microsoft.com/office/drawing/2014/main" id="{22E681BA-A714-4514-A76B-A8ACA4178340}"/>
            </a:ext>
          </a:extLst>
        </xdr:cNvPr>
        <xdr:cNvSpPr/>
      </xdr:nvSpPr>
      <xdr:spPr>
        <a:xfrm>
          <a:off x="17868900" y="15346363"/>
          <a:ext cx="11493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528638</xdr:colOff>
      <xdr:row>58</xdr:row>
      <xdr:rowOff>103188</xdr:rowOff>
    </xdr:from>
    <xdr:to>
      <xdr:col>21</xdr:col>
      <xdr:colOff>647700</xdr:colOff>
      <xdr:row>60</xdr:row>
      <xdr:rowOff>9525</xdr:rowOff>
    </xdr:to>
    <xdr:cxnSp macro="">
      <xdr:nvCxnSpPr>
        <xdr:cNvPr id="51" name="直線矢印コネクタ 50">
          <a:extLst>
            <a:ext uri="{FF2B5EF4-FFF2-40B4-BE49-F238E27FC236}">
              <a16:creationId xmlns:a16="http://schemas.microsoft.com/office/drawing/2014/main" id="{D02A3EF5-B443-434A-B68C-2DE1A45D44C6}"/>
            </a:ext>
          </a:extLst>
        </xdr:cNvPr>
        <xdr:cNvCxnSpPr>
          <a:endCxn id="49" idx="4"/>
        </xdr:cNvCxnSpPr>
      </xdr:nvCxnSpPr>
      <xdr:spPr>
        <a:xfrm flipH="1" flipV="1">
          <a:off x="15727363" y="15765463"/>
          <a:ext cx="122237" cy="357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57150</xdr:colOff>
      <xdr:row>58</xdr:row>
      <xdr:rowOff>37242</xdr:rowOff>
    </xdr:from>
    <xdr:to>
      <xdr:col>23</xdr:col>
      <xdr:colOff>405753</xdr:colOff>
      <xdr:row>60</xdr:row>
      <xdr:rowOff>9525</xdr:rowOff>
    </xdr:to>
    <xdr:cxnSp macro="">
      <xdr:nvCxnSpPr>
        <xdr:cNvPr id="52" name="直線矢印コネクタ 51">
          <a:extLst>
            <a:ext uri="{FF2B5EF4-FFF2-40B4-BE49-F238E27FC236}">
              <a16:creationId xmlns:a16="http://schemas.microsoft.com/office/drawing/2014/main" id="{9029A068-3B33-4B40-B9EC-5864C133F2E1}"/>
            </a:ext>
          </a:extLst>
        </xdr:cNvPr>
        <xdr:cNvCxnSpPr>
          <a:endCxn id="50" idx="3"/>
        </xdr:cNvCxnSpPr>
      </xdr:nvCxnSpPr>
      <xdr:spPr>
        <a:xfrm flipV="1">
          <a:off x="17697450" y="15696342"/>
          <a:ext cx="351778" cy="42630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57150</xdr:colOff>
      <xdr:row>67</xdr:row>
      <xdr:rowOff>77788</xdr:rowOff>
    </xdr:from>
    <xdr:to>
      <xdr:col>21</xdr:col>
      <xdr:colOff>190500</xdr:colOff>
      <xdr:row>68</xdr:row>
      <xdr:rowOff>9526</xdr:rowOff>
    </xdr:to>
    <xdr:cxnSp macro="">
      <xdr:nvCxnSpPr>
        <xdr:cNvPr id="53" name="直線矢印コネクタ 52">
          <a:extLst>
            <a:ext uri="{FF2B5EF4-FFF2-40B4-BE49-F238E27FC236}">
              <a16:creationId xmlns:a16="http://schemas.microsoft.com/office/drawing/2014/main" id="{56150895-89BD-40E1-B7B3-C504E8473042}"/>
            </a:ext>
          </a:extLst>
        </xdr:cNvPr>
        <xdr:cNvCxnSpPr>
          <a:stCxn id="47" idx="1"/>
          <a:endCxn id="46" idx="6"/>
        </xdr:cNvCxnSpPr>
      </xdr:nvCxnSpPr>
      <xdr:spPr>
        <a:xfrm flipH="1">
          <a:off x="13935075" y="16441738"/>
          <a:ext cx="1628775" cy="160338"/>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654050</xdr:colOff>
      <xdr:row>71</xdr:row>
      <xdr:rowOff>104775</xdr:rowOff>
    </xdr:from>
    <xdr:to>
      <xdr:col>15</xdr:col>
      <xdr:colOff>0</xdr:colOff>
      <xdr:row>75</xdr:row>
      <xdr:rowOff>1</xdr:rowOff>
    </xdr:to>
    <xdr:sp macro="" textlink="">
      <xdr:nvSpPr>
        <xdr:cNvPr id="54" name="テキスト ボックス 53">
          <a:extLst>
            <a:ext uri="{FF2B5EF4-FFF2-40B4-BE49-F238E27FC236}">
              <a16:creationId xmlns:a16="http://schemas.microsoft.com/office/drawing/2014/main" id="{90D1A3FE-21AD-4855-9C3C-28EC8A83B6F3}"/>
            </a:ext>
          </a:extLst>
        </xdr:cNvPr>
        <xdr:cNvSpPr txBox="1"/>
      </xdr:nvSpPr>
      <xdr:spPr>
        <a:xfrm>
          <a:off x="3121025" y="18526125"/>
          <a:ext cx="7508875" cy="8763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657225</xdr:colOff>
      <xdr:row>75</xdr:row>
      <xdr:rowOff>142874</xdr:rowOff>
    </xdr:from>
    <xdr:to>
      <xdr:col>15</xdr:col>
      <xdr:colOff>0</xdr:colOff>
      <xdr:row>80</xdr:row>
      <xdr:rowOff>111125</xdr:rowOff>
    </xdr:to>
    <xdr:sp macro="" textlink="">
      <xdr:nvSpPr>
        <xdr:cNvPr id="55" name="テキスト ボックス 54">
          <a:extLst>
            <a:ext uri="{FF2B5EF4-FFF2-40B4-BE49-F238E27FC236}">
              <a16:creationId xmlns:a16="http://schemas.microsoft.com/office/drawing/2014/main" id="{4106B699-6B80-49AA-B3FE-4F2582747DEF}"/>
            </a:ext>
          </a:extLst>
        </xdr:cNvPr>
        <xdr:cNvSpPr txBox="1"/>
      </xdr:nvSpPr>
      <xdr:spPr>
        <a:xfrm>
          <a:off x="3124200" y="19545299"/>
          <a:ext cx="7505700" cy="1111251"/>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■負荷率は冷房時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％、暖房時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％を初期値としています。</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負荷率を把握していない場合は、そのまま使用してください。</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省エネ診断や施工事業者の測定等により負荷率を把握している場合は、その値を入力してください。</a:t>
          </a: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把握している値が複数ある場合は、全体平均を求めるなど、一つの値に整理してください。</a:t>
          </a:r>
        </a:p>
      </xdr:txBody>
    </xdr:sp>
    <xdr:clientData/>
  </xdr:twoCellAnchor>
  <xdr:twoCellAnchor>
    <xdr:from>
      <xdr:col>1</xdr:col>
      <xdr:colOff>663575</xdr:colOff>
      <xdr:row>80</xdr:row>
      <xdr:rowOff>179386</xdr:rowOff>
    </xdr:from>
    <xdr:to>
      <xdr:col>5</xdr:col>
      <xdr:colOff>82550</xdr:colOff>
      <xdr:row>82</xdr:row>
      <xdr:rowOff>57150</xdr:rowOff>
    </xdr:to>
    <xdr:sp macro="" textlink="">
      <xdr:nvSpPr>
        <xdr:cNvPr id="56" name="楕円 55">
          <a:extLst>
            <a:ext uri="{FF2B5EF4-FFF2-40B4-BE49-F238E27FC236}">
              <a16:creationId xmlns:a16="http://schemas.microsoft.com/office/drawing/2014/main" id="{7F659CB3-89E4-4023-9184-AB60E9413F6B}"/>
            </a:ext>
          </a:extLst>
        </xdr:cNvPr>
        <xdr:cNvSpPr/>
      </xdr:nvSpPr>
      <xdr:spPr>
        <a:xfrm>
          <a:off x="1320800" y="20724811"/>
          <a:ext cx="2695575" cy="33496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203200</xdr:colOff>
      <xdr:row>78</xdr:row>
      <xdr:rowOff>14287</xdr:rowOff>
    </xdr:from>
    <xdr:to>
      <xdr:col>3</xdr:col>
      <xdr:colOff>654050</xdr:colOff>
      <xdr:row>80</xdr:row>
      <xdr:rowOff>182561</xdr:rowOff>
    </xdr:to>
    <xdr:cxnSp macro="">
      <xdr:nvCxnSpPr>
        <xdr:cNvPr id="57" name="直線矢印コネクタ 56">
          <a:extLst>
            <a:ext uri="{FF2B5EF4-FFF2-40B4-BE49-F238E27FC236}">
              <a16:creationId xmlns:a16="http://schemas.microsoft.com/office/drawing/2014/main" id="{A0B358EB-3595-4829-8F11-8720CFED0861}"/>
            </a:ext>
          </a:extLst>
        </xdr:cNvPr>
        <xdr:cNvCxnSpPr>
          <a:stCxn id="55" idx="1"/>
          <a:endCxn id="56" idx="0"/>
        </xdr:cNvCxnSpPr>
      </xdr:nvCxnSpPr>
      <xdr:spPr>
        <a:xfrm flipH="1">
          <a:off x="2670175" y="20102512"/>
          <a:ext cx="450850" cy="62547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514350</xdr:colOff>
      <xdr:row>75</xdr:row>
      <xdr:rowOff>139700</xdr:rowOff>
    </xdr:from>
    <xdr:to>
      <xdr:col>3</xdr:col>
      <xdr:colOff>161925</xdr:colOff>
      <xdr:row>77</xdr:row>
      <xdr:rowOff>101600</xdr:rowOff>
    </xdr:to>
    <xdr:sp macro="" textlink="">
      <xdr:nvSpPr>
        <xdr:cNvPr id="58" name="楕円 57">
          <a:extLst>
            <a:ext uri="{FF2B5EF4-FFF2-40B4-BE49-F238E27FC236}">
              <a16:creationId xmlns:a16="http://schemas.microsoft.com/office/drawing/2014/main" id="{509F1571-D3E9-4BC9-9BCE-897996221F02}"/>
            </a:ext>
          </a:extLst>
        </xdr:cNvPr>
        <xdr:cNvSpPr/>
      </xdr:nvSpPr>
      <xdr:spPr>
        <a:xfrm>
          <a:off x="514350" y="19542125"/>
          <a:ext cx="2114550" cy="4191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161925</xdr:colOff>
      <xdr:row>73</xdr:row>
      <xdr:rowOff>17463</xdr:rowOff>
    </xdr:from>
    <xdr:to>
      <xdr:col>3</xdr:col>
      <xdr:colOff>657225</xdr:colOff>
      <xdr:row>76</xdr:row>
      <xdr:rowOff>120650</xdr:rowOff>
    </xdr:to>
    <xdr:cxnSp macro="">
      <xdr:nvCxnSpPr>
        <xdr:cNvPr id="59" name="直線矢印コネクタ 58">
          <a:extLst>
            <a:ext uri="{FF2B5EF4-FFF2-40B4-BE49-F238E27FC236}">
              <a16:creationId xmlns:a16="http://schemas.microsoft.com/office/drawing/2014/main" id="{F5ED0FBB-5D1E-4807-9F66-C02BFF0A1A53}"/>
            </a:ext>
          </a:extLst>
        </xdr:cNvPr>
        <xdr:cNvCxnSpPr>
          <a:stCxn id="54" idx="1"/>
          <a:endCxn id="58" idx="6"/>
        </xdr:cNvCxnSpPr>
      </xdr:nvCxnSpPr>
      <xdr:spPr>
        <a:xfrm flipH="1">
          <a:off x="2628900" y="18962688"/>
          <a:ext cx="495300" cy="7889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457200</xdr:colOff>
      <xdr:row>80</xdr:row>
      <xdr:rowOff>161925</xdr:rowOff>
    </xdr:from>
    <xdr:to>
      <xdr:col>16</xdr:col>
      <xdr:colOff>123825</xdr:colOff>
      <xdr:row>83</xdr:row>
      <xdr:rowOff>66675</xdr:rowOff>
    </xdr:to>
    <xdr:sp macro="" textlink="">
      <xdr:nvSpPr>
        <xdr:cNvPr id="60" name="テキスト ボックス 59">
          <a:extLst>
            <a:ext uri="{FF2B5EF4-FFF2-40B4-BE49-F238E27FC236}">
              <a16:creationId xmlns:a16="http://schemas.microsoft.com/office/drawing/2014/main" id="{1905F814-25BD-4AC5-A5FA-61781BF2FED6}"/>
            </a:ext>
          </a:extLst>
        </xdr:cNvPr>
        <xdr:cNvSpPr txBox="1"/>
      </xdr:nvSpPr>
      <xdr:spPr>
        <a:xfrm>
          <a:off x="5048250" y="20704175"/>
          <a:ext cx="6359525" cy="590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年間冷房（暖房）時間は、実際に設備を稼働している時間を記載してください。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月に冷房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月に暖房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57150</xdr:colOff>
      <xdr:row>87</xdr:row>
      <xdr:rowOff>193606</xdr:rowOff>
    </xdr:from>
    <xdr:to>
      <xdr:col>4</xdr:col>
      <xdr:colOff>73715</xdr:colOff>
      <xdr:row>89</xdr:row>
      <xdr:rowOff>54044</xdr:rowOff>
    </xdr:to>
    <xdr:sp macro="" textlink="">
      <xdr:nvSpPr>
        <xdr:cNvPr id="61" name="楕円 60">
          <a:extLst>
            <a:ext uri="{FF2B5EF4-FFF2-40B4-BE49-F238E27FC236}">
              <a16:creationId xmlns:a16="http://schemas.microsoft.com/office/drawing/2014/main" id="{4160193E-FB7D-4E90-B80F-330F654EE51D}"/>
            </a:ext>
          </a:extLst>
        </xdr:cNvPr>
        <xdr:cNvSpPr/>
      </xdr:nvSpPr>
      <xdr:spPr>
        <a:xfrm>
          <a:off x="2524125" y="22939306"/>
          <a:ext cx="826190"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114300</xdr:colOff>
      <xdr:row>87</xdr:row>
      <xdr:rowOff>193606</xdr:rowOff>
    </xdr:from>
    <xdr:to>
      <xdr:col>6</xdr:col>
      <xdr:colOff>130865</xdr:colOff>
      <xdr:row>89</xdr:row>
      <xdr:rowOff>54044</xdr:rowOff>
    </xdr:to>
    <xdr:sp macro="" textlink="">
      <xdr:nvSpPr>
        <xdr:cNvPr id="62" name="楕円 61">
          <a:extLst>
            <a:ext uri="{FF2B5EF4-FFF2-40B4-BE49-F238E27FC236}">
              <a16:creationId xmlns:a16="http://schemas.microsoft.com/office/drawing/2014/main" id="{4B6A0D7B-DBF7-4CB3-8A93-48B4A3A8999E}"/>
            </a:ext>
          </a:extLst>
        </xdr:cNvPr>
        <xdr:cNvSpPr/>
      </xdr:nvSpPr>
      <xdr:spPr>
        <a:xfrm>
          <a:off x="4048125" y="22939306"/>
          <a:ext cx="673790"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200025</xdr:colOff>
      <xdr:row>87</xdr:row>
      <xdr:rowOff>147638</xdr:rowOff>
    </xdr:from>
    <xdr:to>
      <xdr:col>9</xdr:col>
      <xdr:colOff>57150</xdr:colOff>
      <xdr:row>89</xdr:row>
      <xdr:rowOff>100013</xdr:rowOff>
    </xdr:to>
    <xdr:sp macro="" textlink="">
      <xdr:nvSpPr>
        <xdr:cNvPr id="63" name="楕円 62">
          <a:extLst>
            <a:ext uri="{FF2B5EF4-FFF2-40B4-BE49-F238E27FC236}">
              <a16:creationId xmlns:a16="http://schemas.microsoft.com/office/drawing/2014/main" id="{EF16F8D5-1F38-43BA-9CBB-F947B0735F93}"/>
            </a:ext>
          </a:extLst>
        </xdr:cNvPr>
        <xdr:cNvSpPr/>
      </xdr:nvSpPr>
      <xdr:spPr>
        <a:xfrm>
          <a:off x="4787900" y="22890163"/>
          <a:ext cx="19272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276225</xdr:colOff>
      <xdr:row>87</xdr:row>
      <xdr:rowOff>147638</xdr:rowOff>
    </xdr:from>
    <xdr:to>
      <xdr:col>11</xdr:col>
      <xdr:colOff>114300</xdr:colOff>
      <xdr:row>89</xdr:row>
      <xdr:rowOff>100013</xdr:rowOff>
    </xdr:to>
    <xdr:sp macro="" textlink="">
      <xdr:nvSpPr>
        <xdr:cNvPr id="64" name="楕円 63">
          <a:extLst>
            <a:ext uri="{FF2B5EF4-FFF2-40B4-BE49-F238E27FC236}">
              <a16:creationId xmlns:a16="http://schemas.microsoft.com/office/drawing/2014/main" id="{A8E29159-1408-4BB2-8D93-01FEA7CB884D}"/>
            </a:ext>
          </a:extLst>
        </xdr:cNvPr>
        <xdr:cNvSpPr/>
      </xdr:nvSpPr>
      <xdr:spPr>
        <a:xfrm>
          <a:off x="6931025" y="22890163"/>
          <a:ext cx="118427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285750</xdr:colOff>
      <xdr:row>87</xdr:row>
      <xdr:rowOff>147638</xdr:rowOff>
    </xdr:from>
    <xdr:to>
      <xdr:col>15</xdr:col>
      <xdr:colOff>142875</xdr:colOff>
      <xdr:row>89</xdr:row>
      <xdr:rowOff>100013</xdr:rowOff>
    </xdr:to>
    <xdr:sp macro="" textlink="">
      <xdr:nvSpPr>
        <xdr:cNvPr id="65" name="楕円 64">
          <a:extLst>
            <a:ext uri="{FF2B5EF4-FFF2-40B4-BE49-F238E27FC236}">
              <a16:creationId xmlns:a16="http://schemas.microsoft.com/office/drawing/2014/main" id="{E3F3A590-924B-42E3-BC97-15E1057E44A5}"/>
            </a:ext>
          </a:extLst>
        </xdr:cNvPr>
        <xdr:cNvSpPr/>
      </xdr:nvSpPr>
      <xdr:spPr>
        <a:xfrm>
          <a:off x="8943975" y="22890163"/>
          <a:ext cx="18256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314325</xdr:colOff>
      <xdr:row>87</xdr:row>
      <xdr:rowOff>147638</xdr:rowOff>
    </xdr:from>
    <xdr:to>
      <xdr:col>17</xdr:col>
      <xdr:colOff>152400</xdr:colOff>
      <xdr:row>89</xdr:row>
      <xdr:rowOff>100013</xdr:rowOff>
    </xdr:to>
    <xdr:sp macro="" textlink="">
      <xdr:nvSpPr>
        <xdr:cNvPr id="66" name="楕円 65">
          <a:extLst>
            <a:ext uri="{FF2B5EF4-FFF2-40B4-BE49-F238E27FC236}">
              <a16:creationId xmlns:a16="http://schemas.microsoft.com/office/drawing/2014/main" id="{B1D9F4F1-514C-4AAA-93A6-EE539A23B3CF}"/>
            </a:ext>
          </a:extLst>
        </xdr:cNvPr>
        <xdr:cNvSpPr/>
      </xdr:nvSpPr>
      <xdr:spPr>
        <a:xfrm>
          <a:off x="10941050" y="22890163"/>
          <a:ext cx="115570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647700</xdr:colOff>
      <xdr:row>87</xdr:row>
      <xdr:rowOff>152400</xdr:rowOff>
    </xdr:from>
    <xdr:to>
      <xdr:col>26</xdr:col>
      <xdr:colOff>82550</xdr:colOff>
      <xdr:row>89</xdr:row>
      <xdr:rowOff>152400</xdr:rowOff>
    </xdr:to>
    <xdr:sp macro="" textlink="">
      <xdr:nvSpPr>
        <xdr:cNvPr id="67" name="楕円 66">
          <a:extLst>
            <a:ext uri="{FF2B5EF4-FFF2-40B4-BE49-F238E27FC236}">
              <a16:creationId xmlns:a16="http://schemas.microsoft.com/office/drawing/2014/main" id="{FE68EB8E-2A61-4655-B9F2-355D5F192731}"/>
            </a:ext>
          </a:extLst>
        </xdr:cNvPr>
        <xdr:cNvSpPr/>
      </xdr:nvSpPr>
      <xdr:spPr>
        <a:xfrm>
          <a:off x="17630775" y="22898100"/>
          <a:ext cx="2063750" cy="4572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647700</xdr:colOff>
      <xdr:row>87</xdr:row>
      <xdr:rowOff>141288</xdr:rowOff>
    </xdr:from>
    <xdr:to>
      <xdr:col>30</xdr:col>
      <xdr:colOff>66675</xdr:colOff>
      <xdr:row>89</xdr:row>
      <xdr:rowOff>106363</xdr:rowOff>
    </xdr:to>
    <xdr:sp macro="" textlink="">
      <xdr:nvSpPr>
        <xdr:cNvPr id="68" name="楕円 67">
          <a:extLst>
            <a:ext uri="{FF2B5EF4-FFF2-40B4-BE49-F238E27FC236}">
              <a16:creationId xmlns:a16="http://schemas.microsoft.com/office/drawing/2014/main" id="{8327D3B5-F74E-47EA-8E35-3EDE48A40127}"/>
            </a:ext>
          </a:extLst>
        </xdr:cNvPr>
        <xdr:cNvSpPr/>
      </xdr:nvSpPr>
      <xdr:spPr>
        <a:xfrm>
          <a:off x="20259675" y="22886988"/>
          <a:ext cx="2047875" cy="4222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590550</xdr:colOff>
      <xdr:row>83</xdr:row>
      <xdr:rowOff>57150</xdr:rowOff>
    </xdr:from>
    <xdr:to>
      <xdr:col>10</xdr:col>
      <xdr:colOff>184150</xdr:colOff>
      <xdr:row>87</xdr:row>
      <xdr:rowOff>144463</xdr:rowOff>
    </xdr:to>
    <xdr:cxnSp macro="">
      <xdr:nvCxnSpPr>
        <xdr:cNvPr id="69" name="直線矢印コネクタ 68">
          <a:extLst>
            <a:ext uri="{FF2B5EF4-FFF2-40B4-BE49-F238E27FC236}">
              <a16:creationId xmlns:a16="http://schemas.microsoft.com/office/drawing/2014/main" id="{04D16B80-C72D-4ED8-A43D-12E03975D467}"/>
            </a:ext>
          </a:extLst>
        </xdr:cNvPr>
        <xdr:cNvCxnSpPr>
          <a:endCxn id="64" idx="0"/>
        </xdr:cNvCxnSpPr>
      </xdr:nvCxnSpPr>
      <xdr:spPr>
        <a:xfrm>
          <a:off x="7267575" y="21288375"/>
          <a:ext cx="279400" cy="16017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14</xdr:col>
      <xdr:colOff>447675</xdr:colOff>
      <xdr:row>83</xdr:row>
      <xdr:rowOff>76200</xdr:rowOff>
    </xdr:from>
    <xdr:to>
      <xdr:col>16</xdr:col>
      <xdr:colOff>236538</xdr:colOff>
      <xdr:row>87</xdr:row>
      <xdr:rowOff>144463</xdr:rowOff>
    </xdr:to>
    <xdr:cxnSp macro="">
      <xdr:nvCxnSpPr>
        <xdr:cNvPr id="70" name="直線矢印コネクタ 69">
          <a:extLst>
            <a:ext uri="{FF2B5EF4-FFF2-40B4-BE49-F238E27FC236}">
              <a16:creationId xmlns:a16="http://schemas.microsoft.com/office/drawing/2014/main" id="{2DBBAB13-04CA-4781-A6EB-6A4C7B7C8D9F}"/>
            </a:ext>
          </a:extLst>
        </xdr:cNvPr>
        <xdr:cNvCxnSpPr>
          <a:endCxn id="66" idx="0"/>
        </xdr:cNvCxnSpPr>
      </xdr:nvCxnSpPr>
      <xdr:spPr>
        <a:xfrm>
          <a:off x="10582275" y="21307425"/>
          <a:ext cx="1103313" cy="15827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368301</xdr:colOff>
      <xdr:row>91</xdr:row>
      <xdr:rowOff>120651</xdr:rowOff>
    </xdr:from>
    <xdr:to>
      <xdr:col>5</xdr:col>
      <xdr:colOff>654051</xdr:colOff>
      <xdr:row>96</xdr:row>
      <xdr:rowOff>152400</xdr:rowOff>
    </xdr:to>
    <xdr:sp macro="" textlink="">
      <xdr:nvSpPr>
        <xdr:cNvPr id="71" name="テキスト ボックス 70">
          <a:extLst>
            <a:ext uri="{FF2B5EF4-FFF2-40B4-BE49-F238E27FC236}">
              <a16:creationId xmlns:a16="http://schemas.microsoft.com/office/drawing/2014/main" id="{CEA74E8D-60A4-4919-8B4A-D04A0AF20453}"/>
            </a:ext>
          </a:extLst>
        </xdr:cNvPr>
        <xdr:cNvSpPr txBox="1"/>
      </xdr:nvSpPr>
      <xdr:spPr>
        <a:xfrm>
          <a:off x="1025526" y="23780751"/>
          <a:ext cx="3562350" cy="118427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■老朽化消費倍率は導入年度から自動計算されます。</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省エネ診断や施工事業者の測定等により劣化率等を把握していて、そちらの値を用いたい場合は直接入力して修正してください</a:t>
          </a:r>
        </a:p>
      </xdr:txBody>
    </xdr:sp>
    <xdr:clientData/>
  </xdr:twoCellAnchor>
  <xdr:twoCellAnchor>
    <xdr:from>
      <xdr:col>3</xdr:col>
      <xdr:colOff>339726</xdr:colOff>
      <xdr:row>89</xdr:row>
      <xdr:rowOff>54044</xdr:rowOff>
    </xdr:from>
    <xdr:to>
      <xdr:col>3</xdr:col>
      <xdr:colOff>470245</xdr:colOff>
      <xdr:row>91</xdr:row>
      <xdr:rowOff>120651</xdr:rowOff>
    </xdr:to>
    <xdr:cxnSp macro="">
      <xdr:nvCxnSpPr>
        <xdr:cNvPr id="72" name="直線矢印コネクタ 71">
          <a:extLst>
            <a:ext uri="{FF2B5EF4-FFF2-40B4-BE49-F238E27FC236}">
              <a16:creationId xmlns:a16="http://schemas.microsoft.com/office/drawing/2014/main" id="{F1A819C9-325D-4F50-BDEC-07574C65CC4B}"/>
            </a:ext>
          </a:extLst>
        </xdr:cNvPr>
        <xdr:cNvCxnSpPr>
          <a:stCxn id="71" idx="0"/>
          <a:endCxn id="61" idx="4"/>
        </xdr:cNvCxnSpPr>
      </xdr:nvCxnSpPr>
      <xdr:spPr>
        <a:xfrm flipV="1">
          <a:off x="2806701" y="23256944"/>
          <a:ext cx="130519" cy="52380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561975</xdr:colOff>
      <xdr:row>89</xdr:row>
      <xdr:rowOff>4737</xdr:rowOff>
    </xdr:from>
    <xdr:to>
      <xdr:col>5</xdr:col>
      <xdr:colOff>217159</xdr:colOff>
      <xdr:row>91</xdr:row>
      <xdr:rowOff>117407</xdr:rowOff>
    </xdr:to>
    <xdr:cxnSp macro="">
      <xdr:nvCxnSpPr>
        <xdr:cNvPr id="73" name="直線矢印コネクタ 72">
          <a:extLst>
            <a:ext uri="{FF2B5EF4-FFF2-40B4-BE49-F238E27FC236}">
              <a16:creationId xmlns:a16="http://schemas.microsoft.com/office/drawing/2014/main" id="{4999C099-65E0-4716-A83F-3CC994DC1F6F}"/>
            </a:ext>
          </a:extLst>
        </xdr:cNvPr>
        <xdr:cNvCxnSpPr>
          <a:endCxn id="62" idx="3"/>
        </xdr:cNvCxnSpPr>
      </xdr:nvCxnSpPr>
      <xdr:spPr>
        <a:xfrm flipV="1">
          <a:off x="3835400" y="23210812"/>
          <a:ext cx="318759" cy="56669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552450</xdr:colOff>
      <xdr:row>91</xdr:row>
      <xdr:rowOff>120651</xdr:rowOff>
    </xdr:from>
    <xdr:to>
      <xdr:col>14</xdr:col>
      <xdr:colOff>74390</xdr:colOff>
      <xdr:row>99</xdr:row>
      <xdr:rowOff>38100</xdr:rowOff>
    </xdr:to>
    <xdr:sp macro="" textlink="">
      <xdr:nvSpPr>
        <xdr:cNvPr id="74" name="テキスト ボックス 73">
          <a:extLst>
            <a:ext uri="{FF2B5EF4-FFF2-40B4-BE49-F238E27FC236}">
              <a16:creationId xmlns:a16="http://schemas.microsoft.com/office/drawing/2014/main" id="{2FA01FA1-895A-4947-9923-250EFDF94E9D}"/>
            </a:ext>
          </a:extLst>
        </xdr:cNvPr>
        <xdr:cNvSpPr txBox="1"/>
      </xdr:nvSpPr>
      <xdr:spPr>
        <a:xfrm>
          <a:off x="5143500" y="23780751"/>
          <a:ext cx="4903565" cy="176529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■仕様書等にある、定格消費電力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を入力してください。</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省エネ診断の診断結果報告書を参照する（受診済みの場合）</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施工事業者へ測定等を依頼する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本体の銘板や仕様表等から読み取る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471488</xdr:colOff>
      <xdr:row>89</xdr:row>
      <xdr:rowOff>100013</xdr:rowOff>
    </xdr:from>
    <xdr:to>
      <xdr:col>8</xdr:col>
      <xdr:colOff>104775</xdr:colOff>
      <xdr:row>91</xdr:row>
      <xdr:rowOff>123825</xdr:rowOff>
    </xdr:to>
    <xdr:cxnSp macro="">
      <xdr:nvCxnSpPr>
        <xdr:cNvPr id="75" name="直線矢印コネクタ 74">
          <a:extLst>
            <a:ext uri="{FF2B5EF4-FFF2-40B4-BE49-F238E27FC236}">
              <a16:creationId xmlns:a16="http://schemas.microsoft.com/office/drawing/2014/main" id="{4939C636-C12E-4649-82F0-C7A7F628F342}"/>
            </a:ext>
          </a:extLst>
        </xdr:cNvPr>
        <xdr:cNvCxnSpPr>
          <a:endCxn id="63" idx="4"/>
        </xdr:cNvCxnSpPr>
      </xdr:nvCxnSpPr>
      <xdr:spPr>
        <a:xfrm flipH="1" flipV="1">
          <a:off x="5811838" y="23306088"/>
          <a:ext cx="290512" cy="47466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57150</xdr:colOff>
      <xdr:row>89</xdr:row>
      <xdr:rowOff>100013</xdr:rowOff>
    </xdr:from>
    <xdr:to>
      <xdr:col>13</xdr:col>
      <xdr:colOff>557213</xdr:colOff>
      <xdr:row>91</xdr:row>
      <xdr:rowOff>123825</xdr:rowOff>
    </xdr:to>
    <xdr:cxnSp macro="">
      <xdr:nvCxnSpPr>
        <xdr:cNvPr id="76" name="直線矢印コネクタ 75">
          <a:extLst>
            <a:ext uri="{FF2B5EF4-FFF2-40B4-BE49-F238E27FC236}">
              <a16:creationId xmlns:a16="http://schemas.microsoft.com/office/drawing/2014/main" id="{6D0594F2-518C-4565-A42B-70EDD19155EF}"/>
            </a:ext>
          </a:extLst>
        </xdr:cNvPr>
        <xdr:cNvCxnSpPr>
          <a:endCxn id="65" idx="4"/>
        </xdr:cNvCxnSpPr>
      </xdr:nvCxnSpPr>
      <xdr:spPr>
        <a:xfrm flipV="1">
          <a:off x="9372600" y="23306088"/>
          <a:ext cx="503238" cy="47466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1954</xdr:colOff>
      <xdr:row>89</xdr:row>
      <xdr:rowOff>152400</xdr:rowOff>
    </xdr:from>
    <xdr:to>
      <xdr:col>24</xdr:col>
      <xdr:colOff>365125</xdr:colOff>
      <xdr:row>94</xdr:row>
      <xdr:rowOff>2687</xdr:rowOff>
    </xdr:to>
    <xdr:cxnSp macro="">
      <xdr:nvCxnSpPr>
        <xdr:cNvPr id="79" name="直線矢印コネクタ 78">
          <a:extLst>
            <a:ext uri="{FF2B5EF4-FFF2-40B4-BE49-F238E27FC236}">
              <a16:creationId xmlns:a16="http://schemas.microsoft.com/office/drawing/2014/main" id="{7446C07C-64C8-4FDB-8879-630E1BCE6631}"/>
            </a:ext>
          </a:extLst>
        </xdr:cNvPr>
        <xdr:cNvCxnSpPr>
          <a:endCxn id="67" idx="4"/>
        </xdr:cNvCxnSpPr>
      </xdr:nvCxnSpPr>
      <xdr:spPr>
        <a:xfrm flipV="1">
          <a:off x="17642254" y="23355300"/>
          <a:ext cx="1020396" cy="100281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0</xdr:colOff>
      <xdr:row>89</xdr:row>
      <xdr:rowOff>44522</xdr:rowOff>
    </xdr:from>
    <xdr:to>
      <xdr:col>27</xdr:col>
      <xdr:colOff>290379</xdr:colOff>
      <xdr:row>100</xdr:row>
      <xdr:rowOff>30162</xdr:rowOff>
    </xdr:to>
    <xdr:cxnSp macro="">
      <xdr:nvCxnSpPr>
        <xdr:cNvPr id="80" name="直線矢印コネクタ 79">
          <a:extLst>
            <a:ext uri="{FF2B5EF4-FFF2-40B4-BE49-F238E27FC236}">
              <a16:creationId xmlns:a16="http://schemas.microsoft.com/office/drawing/2014/main" id="{D9AA2690-CE44-4389-921E-39C2E29886FE}"/>
            </a:ext>
          </a:extLst>
        </xdr:cNvPr>
        <xdr:cNvCxnSpPr>
          <a:endCxn id="68" idx="3"/>
        </xdr:cNvCxnSpPr>
      </xdr:nvCxnSpPr>
      <xdr:spPr>
        <a:xfrm flipV="1">
          <a:off x="17640300" y="23247422"/>
          <a:ext cx="2919279" cy="252881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593814</xdr:colOff>
      <xdr:row>97</xdr:row>
      <xdr:rowOff>77590</xdr:rowOff>
    </xdr:from>
    <xdr:to>
      <xdr:col>20</xdr:col>
      <xdr:colOff>61291</xdr:colOff>
      <xdr:row>99</xdr:row>
      <xdr:rowOff>190769</xdr:rowOff>
    </xdr:to>
    <xdr:sp macro="" textlink="">
      <xdr:nvSpPr>
        <xdr:cNvPr id="81" name="楕円 80">
          <a:extLst>
            <a:ext uri="{FF2B5EF4-FFF2-40B4-BE49-F238E27FC236}">
              <a16:creationId xmlns:a16="http://schemas.microsoft.com/office/drawing/2014/main" id="{8F78A994-DA26-4FE0-A0EE-06C11A0B4491}"/>
            </a:ext>
          </a:extLst>
        </xdr:cNvPr>
        <xdr:cNvSpPr/>
      </xdr:nvSpPr>
      <xdr:spPr>
        <a:xfrm>
          <a:off x="13198564" y="25128340"/>
          <a:ext cx="1229602" cy="570379"/>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621196</xdr:colOff>
      <xdr:row>103</xdr:row>
      <xdr:rowOff>57492</xdr:rowOff>
    </xdr:from>
    <xdr:to>
      <xdr:col>17</xdr:col>
      <xdr:colOff>413887</xdr:colOff>
      <xdr:row>105</xdr:row>
      <xdr:rowOff>149770</xdr:rowOff>
    </xdr:to>
    <xdr:sp macro="" textlink="">
      <xdr:nvSpPr>
        <xdr:cNvPr id="82" name="テキスト ボックス 81">
          <a:extLst>
            <a:ext uri="{FF2B5EF4-FFF2-40B4-BE49-F238E27FC236}">
              <a16:creationId xmlns:a16="http://schemas.microsoft.com/office/drawing/2014/main" id="{51645BC9-CEB8-4CD1-A941-EBBCBBBA34D0}"/>
            </a:ext>
          </a:extLst>
        </xdr:cNvPr>
        <xdr:cNvSpPr txBox="1"/>
      </xdr:nvSpPr>
      <xdr:spPr>
        <a:xfrm>
          <a:off x="9276246" y="26498892"/>
          <a:ext cx="3078816" cy="549478"/>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最大・中間・最低能力、低温能力など、定格以外の能力では算定しないでください。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413887</xdr:colOff>
      <xdr:row>98</xdr:row>
      <xdr:rowOff>134180</xdr:rowOff>
    </xdr:from>
    <xdr:to>
      <xdr:col>18</xdr:col>
      <xdr:colOff>593814</xdr:colOff>
      <xdr:row>104</xdr:row>
      <xdr:rowOff>103631</xdr:rowOff>
    </xdr:to>
    <xdr:cxnSp macro="">
      <xdr:nvCxnSpPr>
        <xdr:cNvPr id="83" name="直線矢印コネクタ 82">
          <a:extLst>
            <a:ext uri="{FF2B5EF4-FFF2-40B4-BE49-F238E27FC236}">
              <a16:creationId xmlns:a16="http://schemas.microsoft.com/office/drawing/2014/main" id="{84ACDCBF-5180-4BDC-8AD9-7584899A7EEC}"/>
            </a:ext>
          </a:extLst>
        </xdr:cNvPr>
        <xdr:cNvCxnSpPr>
          <a:stCxn id="82" idx="3"/>
          <a:endCxn id="81" idx="2"/>
        </xdr:cNvCxnSpPr>
      </xdr:nvCxnSpPr>
      <xdr:spPr>
        <a:xfrm flipV="1">
          <a:off x="12355062" y="25413530"/>
          <a:ext cx="843502" cy="1363276"/>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593814</xdr:colOff>
      <xdr:row>103</xdr:row>
      <xdr:rowOff>64338</xdr:rowOff>
    </xdr:from>
    <xdr:to>
      <xdr:col>20</xdr:col>
      <xdr:colOff>61291</xdr:colOff>
      <xdr:row>105</xdr:row>
      <xdr:rowOff>177517</xdr:rowOff>
    </xdr:to>
    <xdr:sp macro="" textlink="">
      <xdr:nvSpPr>
        <xdr:cNvPr id="84" name="楕円 83">
          <a:extLst>
            <a:ext uri="{FF2B5EF4-FFF2-40B4-BE49-F238E27FC236}">
              <a16:creationId xmlns:a16="http://schemas.microsoft.com/office/drawing/2014/main" id="{67FD5A9D-C0B3-479E-AB55-ED2DA796CF59}"/>
            </a:ext>
          </a:extLst>
        </xdr:cNvPr>
        <xdr:cNvSpPr/>
      </xdr:nvSpPr>
      <xdr:spPr>
        <a:xfrm>
          <a:off x="13198564" y="26508913"/>
          <a:ext cx="1229602" cy="570379"/>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593814</xdr:colOff>
      <xdr:row>106</xdr:row>
      <xdr:rowOff>67651</xdr:rowOff>
    </xdr:from>
    <xdr:to>
      <xdr:col>20</xdr:col>
      <xdr:colOff>61291</xdr:colOff>
      <xdr:row>108</xdr:row>
      <xdr:rowOff>180830</xdr:rowOff>
    </xdr:to>
    <xdr:sp macro="" textlink="">
      <xdr:nvSpPr>
        <xdr:cNvPr id="85" name="楕円 84">
          <a:extLst>
            <a:ext uri="{FF2B5EF4-FFF2-40B4-BE49-F238E27FC236}">
              <a16:creationId xmlns:a16="http://schemas.microsoft.com/office/drawing/2014/main" id="{F3EB1315-F6E6-4A88-BBC5-C9F20B3E76E5}"/>
            </a:ext>
          </a:extLst>
        </xdr:cNvPr>
        <xdr:cNvSpPr/>
      </xdr:nvSpPr>
      <xdr:spPr>
        <a:xfrm>
          <a:off x="13198564" y="27191676"/>
          <a:ext cx="1229602" cy="586254"/>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413887</xdr:colOff>
      <xdr:row>104</xdr:row>
      <xdr:rowOff>103631</xdr:rowOff>
    </xdr:from>
    <xdr:to>
      <xdr:col>18</xdr:col>
      <xdr:colOff>593814</xdr:colOff>
      <xdr:row>104</xdr:row>
      <xdr:rowOff>120928</xdr:rowOff>
    </xdr:to>
    <xdr:cxnSp macro="">
      <xdr:nvCxnSpPr>
        <xdr:cNvPr id="86" name="直線矢印コネクタ 85">
          <a:extLst>
            <a:ext uri="{FF2B5EF4-FFF2-40B4-BE49-F238E27FC236}">
              <a16:creationId xmlns:a16="http://schemas.microsoft.com/office/drawing/2014/main" id="{030CEDBE-C96A-4988-90EF-738858D40672}"/>
            </a:ext>
          </a:extLst>
        </xdr:cNvPr>
        <xdr:cNvCxnSpPr>
          <a:stCxn id="82" idx="3"/>
          <a:endCxn id="84" idx="2"/>
        </xdr:cNvCxnSpPr>
      </xdr:nvCxnSpPr>
      <xdr:spPr>
        <a:xfrm>
          <a:off x="12355062" y="26776806"/>
          <a:ext cx="843502" cy="17297"/>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413887</xdr:colOff>
      <xdr:row>104</xdr:row>
      <xdr:rowOff>103631</xdr:rowOff>
    </xdr:from>
    <xdr:to>
      <xdr:col>18</xdr:col>
      <xdr:colOff>593814</xdr:colOff>
      <xdr:row>107</xdr:row>
      <xdr:rowOff>124241</xdr:rowOff>
    </xdr:to>
    <xdr:cxnSp macro="">
      <xdr:nvCxnSpPr>
        <xdr:cNvPr id="87" name="直線矢印コネクタ 86">
          <a:extLst>
            <a:ext uri="{FF2B5EF4-FFF2-40B4-BE49-F238E27FC236}">
              <a16:creationId xmlns:a16="http://schemas.microsoft.com/office/drawing/2014/main" id="{E59EBC00-25BD-4388-A9A1-44DF3AB43CE1}"/>
            </a:ext>
          </a:extLst>
        </xdr:cNvPr>
        <xdr:cNvCxnSpPr>
          <a:stCxn id="82" idx="3"/>
          <a:endCxn id="85" idx="2"/>
        </xdr:cNvCxnSpPr>
      </xdr:nvCxnSpPr>
      <xdr:spPr>
        <a:xfrm>
          <a:off x="12355062" y="26776806"/>
          <a:ext cx="843502" cy="709585"/>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808520</xdr:colOff>
      <xdr:row>129</xdr:row>
      <xdr:rowOff>121064</xdr:rowOff>
    </xdr:from>
    <xdr:to>
      <xdr:col>6</xdr:col>
      <xdr:colOff>297238</xdr:colOff>
      <xdr:row>139</xdr:row>
      <xdr:rowOff>180975</xdr:rowOff>
    </xdr:to>
    <xdr:sp macro="" textlink="">
      <xdr:nvSpPr>
        <xdr:cNvPr id="88" name="テキスト ボックス 87">
          <a:extLst>
            <a:ext uri="{FF2B5EF4-FFF2-40B4-BE49-F238E27FC236}">
              <a16:creationId xmlns:a16="http://schemas.microsoft.com/office/drawing/2014/main" id="{D99B31F4-7230-45ED-8FA1-294C858CB329}"/>
            </a:ext>
          </a:extLst>
        </xdr:cNvPr>
        <xdr:cNvSpPr txBox="1"/>
      </xdr:nvSpPr>
      <xdr:spPr>
        <a:xfrm>
          <a:off x="1465745" y="33058514"/>
          <a:ext cx="3422543" cy="235543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給湯器（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ヒートポンプ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を入力する場合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・設備種類にて「給湯器（</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）」をプルダウンから選択すると、導入年度の行が入力色になります。</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・導入年度を入力すると、</a:t>
          </a:r>
          <a:r>
            <a:rPr kumimoji="1" lang="ja-JP" altLang="en-US" sz="1100" u="sng">
              <a:solidFill>
                <a:sysClr val="windowText" lastClr="000000"/>
              </a:solidFill>
              <a:latin typeface="ＭＳ Ｐゴシック" panose="020B0600070205080204" pitchFamily="50" charset="-128"/>
              <a:ea typeface="ＭＳ Ｐゴシック" panose="020B0600070205080204" pitchFamily="50" charset="-128"/>
            </a:rPr>
            <a:t>ヒートポンプの劣化率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が自動計算されます。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省エネ診断や施工事業者の測定等により劣化率等を把握していて、そちらの値を用いたい場合は直接入力して修正してください。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給湯器（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ヒートポンプ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以外の場合は、導入年度は記入不要です。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710042</xdr:colOff>
      <xdr:row>127</xdr:row>
      <xdr:rowOff>104637</xdr:rowOff>
    </xdr:from>
    <xdr:to>
      <xdr:col>3</xdr:col>
      <xdr:colOff>735358</xdr:colOff>
      <xdr:row>129</xdr:row>
      <xdr:rowOff>121064</xdr:rowOff>
    </xdr:to>
    <xdr:cxnSp macro="">
      <xdr:nvCxnSpPr>
        <xdr:cNvPr id="89" name="直線矢印コネクタ 88">
          <a:extLst>
            <a:ext uri="{FF2B5EF4-FFF2-40B4-BE49-F238E27FC236}">
              <a16:creationId xmlns:a16="http://schemas.microsoft.com/office/drawing/2014/main" id="{66B82A27-631F-4829-8E70-D272EDEF7B0D}"/>
            </a:ext>
          </a:extLst>
        </xdr:cNvPr>
        <xdr:cNvCxnSpPr>
          <a:stCxn id="88" idx="0"/>
          <a:endCxn id="90" idx="4"/>
        </xdr:cNvCxnSpPr>
      </xdr:nvCxnSpPr>
      <xdr:spPr>
        <a:xfrm flipV="1">
          <a:off x="3177017" y="32584887"/>
          <a:ext cx="25316" cy="47362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828261</xdr:colOff>
      <xdr:row>125</xdr:row>
      <xdr:rowOff>149087</xdr:rowOff>
    </xdr:from>
    <xdr:to>
      <xdr:col>5</xdr:col>
      <xdr:colOff>140805</xdr:colOff>
      <xdr:row>127</xdr:row>
      <xdr:rowOff>101462</xdr:rowOff>
    </xdr:to>
    <xdr:sp macro="" textlink="">
      <xdr:nvSpPr>
        <xdr:cNvPr id="90" name="楕円 89">
          <a:extLst>
            <a:ext uri="{FF2B5EF4-FFF2-40B4-BE49-F238E27FC236}">
              <a16:creationId xmlns:a16="http://schemas.microsoft.com/office/drawing/2014/main" id="{B204ABC2-F68E-40C6-9EC2-E2A547E8D3C3}"/>
            </a:ext>
          </a:extLst>
        </xdr:cNvPr>
        <xdr:cNvSpPr/>
      </xdr:nvSpPr>
      <xdr:spPr>
        <a:xfrm>
          <a:off x="2326861" y="32092762"/>
          <a:ext cx="1750944" cy="4254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679173</xdr:colOff>
      <xdr:row>125</xdr:row>
      <xdr:rowOff>195055</xdr:rowOff>
    </xdr:from>
    <xdr:to>
      <xdr:col>9</xdr:col>
      <xdr:colOff>8282</xdr:colOff>
      <xdr:row>127</xdr:row>
      <xdr:rowOff>55493</xdr:rowOff>
    </xdr:to>
    <xdr:sp macro="" textlink="">
      <xdr:nvSpPr>
        <xdr:cNvPr id="92" name="楕円 91">
          <a:extLst>
            <a:ext uri="{FF2B5EF4-FFF2-40B4-BE49-F238E27FC236}">
              <a16:creationId xmlns:a16="http://schemas.microsoft.com/office/drawing/2014/main" id="{CB54902B-D91D-40B5-A218-0BC49ECB604C}"/>
            </a:ext>
          </a:extLst>
        </xdr:cNvPr>
        <xdr:cNvSpPr/>
      </xdr:nvSpPr>
      <xdr:spPr>
        <a:xfrm>
          <a:off x="6000473" y="32145080"/>
          <a:ext cx="668959"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628650</xdr:colOff>
      <xdr:row>126</xdr:row>
      <xdr:rowOff>226882</xdr:rowOff>
    </xdr:from>
    <xdr:to>
      <xdr:col>8</xdr:col>
      <xdr:colOff>97690</xdr:colOff>
      <xdr:row>129</xdr:row>
      <xdr:rowOff>114300</xdr:rowOff>
    </xdr:to>
    <xdr:cxnSp macro="">
      <xdr:nvCxnSpPr>
        <xdr:cNvPr id="93" name="直線矢印コネクタ 92">
          <a:extLst>
            <a:ext uri="{FF2B5EF4-FFF2-40B4-BE49-F238E27FC236}">
              <a16:creationId xmlns:a16="http://schemas.microsoft.com/office/drawing/2014/main" id="{A6A3D153-1993-4FF0-AADE-0012C299EAC6}"/>
            </a:ext>
          </a:extLst>
        </xdr:cNvPr>
        <xdr:cNvCxnSpPr>
          <a:cxnSpLocks/>
          <a:endCxn id="92" idx="3"/>
        </xdr:cNvCxnSpPr>
      </xdr:nvCxnSpPr>
      <xdr:spPr>
        <a:xfrm flipV="1">
          <a:off x="3905250" y="32478532"/>
          <a:ext cx="2212240" cy="57321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560043</xdr:colOff>
      <xdr:row>115</xdr:row>
      <xdr:rowOff>162476</xdr:rowOff>
    </xdr:from>
    <xdr:to>
      <xdr:col>7</xdr:col>
      <xdr:colOff>314505</xdr:colOff>
      <xdr:row>122</xdr:row>
      <xdr:rowOff>19049</xdr:rowOff>
    </xdr:to>
    <xdr:sp macro="" textlink="">
      <xdr:nvSpPr>
        <xdr:cNvPr id="94" name="テキスト ボックス 93">
          <a:extLst>
            <a:ext uri="{FF2B5EF4-FFF2-40B4-BE49-F238E27FC236}">
              <a16:creationId xmlns:a16="http://schemas.microsoft.com/office/drawing/2014/main" id="{5F8DC11E-93C4-4781-BDF5-9A451D67C3FD}"/>
            </a:ext>
          </a:extLst>
        </xdr:cNvPr>
        <xdr:cNvSpPr txBox="1"/>
      </xdr:nvSpPr>
      <xdr:spPr>
        <a:xfrm>
          <a:off x="2055468" y="29556626"/>
          <a:ext cx="3602562" cy="1456773"/>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ボイラー及び給湯器（加熱式）の経年劣化率は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を参考値としています。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経年劣化率を把握していない場合は、そのまま算定してください。</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劣化率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を把握して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そちらの値を用いたい場合は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直接入力して修正してください。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679174</xdr:colOff>
      <xdr:row>125</xdr:row>
      <xdr:rowOff>198783</xdr:rowOff>
    </xdr:from>
    <xdr:to>
      <xdr:col>10</xdr:col>
      <xdr:colOff>8283</xdr:colOff>
      <xdr:row>127</xdr:row>
      <xdr:rowOff>59221</xdr:rowOff>
    </xdr:to>
    <xdr:sp macro="" textlink="">
      <xdr:nvSpPr>
        <xdr:cNvPr id="95" name="楕円 94">
          <a:extLst>
            <a:ext uri="{FF2B5EF4-FFF2-40B4-BE49-F238E27FC236}">
              <a16:creationId xmlns:a16="http://schemas.microsoft.com/office/drawing/2014/main" id="{4EFA93EB-5F26-4E1A-845A-5DC0CFDE49A4}"/>
            </a:ext>
          </a:extLst>
        </xdr:cNvPr>
        <xdr:cNvSpPr/>
      </xdr:nvSpPr>
      <xdr:spPr>
        <a:xfrm>
          <a:off x="6657699" y="32148808"/>
          <a:ext cx="69753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314505</xdr:colOff>
      <xdr:row>118</xdr:row>
      <xdr:rowOff>205063</xdr:rowOff>
    </xdr:from>
    <xdr:to>
      <xdr:col>8</xdr:col>
      <xdr:colOff>334203</xdr:colOff>
      <xdr:row>125</xdr:row>
      <xdr:rowOff>198230</xdr:rowOff>
    </xdr:to>
    <xdr:cxnSp macro="">
      <xdr:nvCxnSpPr>
        <xdr:cNvPr id="96" name="直線矢印コネクタ 95">
          <a:extLst>
            <a:ext uri="{FF2B5EF4-FFF2-40B4-BE49-F238E27FC236}">
              <a16:creationId xmlns:a16="http://schemas.microsoft.com/office/drawing/2014/main" id="{684F7DC7-E1FB-488C-B832-61AA9DF4A561}"/>
            </a:ext>
          </a:extLst>
        </xdr:cNvPr>
        <xdr:cNvCxnSpPr>
          <a:stCxn id="94" idx="3"/>
          <a:endCxn id="92" idx="0"/>
        </xdr:cNvCxnSpPr>
      </xdr:nvCxnSpPr>
      <xdr:spPr>
        <a:xfrm>
          <a:off x="5658030" y="30285013"/>
          <a:ext cx="676923" cy="186006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314505</xdr:colOff>
      <xdr:row>118</xdr:row>
      <xdr:rowOff>205063</xdr:rowOff>
    </xdr:from>
    <xdr:to>
      <xdr:col>9</xdr:col>
      <xdr:colOff>348491</xdr:colOff>
      <xdr:row>125</xdr:row>
      <xdr:rowOff>201958</xdr:rowOff>
    </xdr:to>
    <xdr:cxnSp macro="">
      <xdr:nvCxnSpPr>
        <xdr:cNvPr id="97" name="直線矢印コネクタ 96">
          <a:extLst>
            <a:ext uri="{FF2B5EF4-FFF2-40B4-BE49-F238E27FC236}">
              <a16:creationId xmlns:a16="http://schemas.microsoft.com/office/drawing/2014/main" id="{73329E44-C578-48D1-8998-67418B1D529B}"/>
            </a:ext>
          </a:extLst>
        </xdr:cNvPr>
        <xdr:cNvCxnSpPr>
          <a:stCxn id="94" idx="3"/>
          <a:endCxn id="95" idx="0"/>
        </xdr:cNvCxnSpPr>
      </xdr:nvCxnSpPr>
      <xdr:spPr>
        <a:xfrm>
          <a:off x="5658030" y="30285013"/>
          <a:ext cx="1348436" cy="186379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347870</xdr:colOff>
      <xdr:row>111</xdr:row>
      <xdr:rowOff>207065</xdr:rowOff>
    </xdr:from>
    <xdr:to>
      <xdr:col>15</xdr:col>
      <xdr:colOff>557267</xdr:colOff>
      <xdr:row>119</xdr:row>
      <xdr:rowOff>101049</xdr:rowOff>
    </xdr:to>
    <xdr:sp macro="" textlink="">
      <xdr:nvSpPr>
        <xdr:cNvPr id="98" name="テキスト ボックス 97">
          <a:extLst>
            <a:ext uri="{FF2B5EF4-FFF2-40B4-BE49-F238E27FC236}">
              <a16:creationId xmlns:a16="http://schemas.microsoft.com/office/drawing/2014/main" id="{5F6D310B-3233-428E-BD9A-2432AA9BCF62}"/>
            </a:ext>
          </a:extLst>
        </xdr:cNvPr>
        <xdr:cNvSpPr txBox="1"/>
      </xdr:nvSpPr>
      <xdr:spPr>
        <a:xfrm>
          <a:off x="6351795" y="28486790"/>
          <a:ext cx="4838547" cy="192598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■仕様書等にある、定格消費電力・ガス量を入力してください。</a:t>
          </a: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10</xdr:col>
      <xdr:colOff>66675</xdr:colOff>
      <xdr:row>125</xdr:row>
      <xdr:rowOff>171312</xdr:rowOff>
    </xdr:from>
    <xdr:to>
      <xdr:col>14</xdr:col>
      <xdr:colOff>82826</xdr:colOff>
      <xdr:row>127</xdr:row>
      <xdr:rowOff>136387</xdr:rowOff>
    </xdr:to>
    <xdr:sp macro="" textlink="">
      <xdr:nvSpPr>
        <xdr:cNvPr id="99" name="楕円 98">
          <a:extLst>
            <a:ext uri="{FF2B5EF4-FFF2-40B4-BE49-F238E27FC236}">
              <a16:creationId xmlns:a16="http://schemas.microsoft.com/office/drawing/2014/main" id="{6708A0BB-AD29-433C-8D27-0D2636D71CD6}"/>
            </a:ext>
          </a:extLst>
        </xdr:cNvPr>
        <xdr:cNvSpPr/>
      </xdr:nvSpPr>
      <xdr:spPr>
        <a:xfrm>
          <a:off x="7410450" y="32118162"/>
          <a:ext cx="2645051" cy="4984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74751</xdr:colOff>
      <xdr:row>119</xdr:row>
      <xdr:rowOff>104224</xdr:rowOff>
    </xdr:from>
    <xdr:to>
      <xdr:col>12</xdr:col>
      <xdr:colOff>112844</xdr:colOff>
      <xdr:row>125</xdr:row>
      <xdr:rowOff>171312</xdr:rowOff>
    </xdr:to>
    <xdr:cxnSp macro="">
      <xdr:nvCxnSpPr>
        <xdr:cNvPr id="100" name="直線矢印コネクタ 99">
          <a:extLst>
            <a:ext uri="{FF2B5EF4-FFF2-40B4-BE49-F238E27FC236}">
              <a16:creationId xmlns:a16="http://schemas.microsoft.com/office/drawing/2014/main" id="{F491EEE9-B931-4837-BCBA-8F37CE816188}"/>
            </a:ext>
          </a:extLst>
        </xdr:cNvPr>
        <xdr:cNvCxnSpPr>
          <a:stCxn id="98" idx="2"/>
          <a:endCxn id="99" idx="0"/>
        </xdr:cNvCxnSpPr>
      </xdr:nvCxnSpPr>
      <xdr:spPr>
        <a:xfrm flipH="1">
          <a:off x="8732976" y="30412774"/>
          <a:ext cx="38093" cy="17053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544719</xdr:colOff>
      <xdr:row>129</xdr:row>
      <xdr:rowOff>140803</xdr:rowOff>
    </xdr:from>
    <xdr:to>
      <xdr:col>15</xdr:col>
      <xdr:colOff>84760</xdr:colOff>
      <xdr:row>139</xdr:row>
      <xdr:rowOff>152400</xdr:rowOff>
    </xdr:to>
    <xdr:sp macro="" textlink="">
      <xdr:nvSpPr>
        <xdr:cNvPr id="101" name="テキスト ボックス 100">
          <a:extLst>
            <a:ext uri="{FF2B5EF4-FFF2-40B4-BE49-F238E27FC236}">
              <a16:creationId xmlns:a16="http://schemas.microsoft.com/office/drawing/2014/main" id="{9311CE3F-AAD7-4030-A9DD-AF95F64D81CF}"/>
            </a:ext>
          </a:extLst>
        </xdr:cNvPr>
        <xdr:cNvSpPr txBox="1"/>
      </xdr:nvSpPr>
      <xdr:spPr>
        <a:xfrm>
          <a:off x="6545469" y="33078253"/>
          <a:ext cx="4169191" cy="2307122"/>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■ボイラー・給湯器の効率について</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・蒸気・温水の発生効率を指し、仕様書等に記載されている能力です。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給湯器（</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）の場合「加熱能力</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消費電力」のため、効率が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％を超える場合があります。</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（参考目安）</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・エコジョーズ</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約</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　・従来型ガス給湯器 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・エコキュート 約</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450</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12</xdr:col>
      <xdr:colOff>190499</xdr:colOff>
      <xdr:row>125</xdr:row>
      <xdr:rowOff>82825</xdr:rowOff>
    </xdr:from>
    <xdr:to>
      <xdr:col>13</xdr:col>
      <xdr:colOff>79043</xdr:colOff>
      <xdr:row>127</xdr:row>
      <xdr:rowOff>178433</xdr:rowOff>
    </xdr:to>
    <xdr:sp macro="" textlink="">
      <xdr:nvSpPr>
        <xdr:cNvPr id="102" name="楕円 101">
          <a:extLst>
            <a:ext uri="{FF2B5EF4-FFF2-40B4-BE49-F238E27FC236}">
              <a16:creationId xmlns:a16="http://schemas.microsoft.com/office/drawing/2014/main" id="{730AAE01-7A45-4527-9218-94E9D048D93D}"/>
            </a:ext>
          </a:extLst>
        </xdr:cNvPr>
        <xdr:cNvSpPr/>
      </xdr:nvSpPr>
      <xdr:spPr>
        <a:xfrm>
          <a:off x="8848724" y="32032850"/>
          <a:ext cx="545769" cy="5623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478499</xdr:colOff>
      <xdr:row>127</xdr:row>
      <xdr:rowOff>178433</xdr:rowOff>
    </xdr:from>
    <xdr:to>
      <xdr:col>12</xdr:col>
      <xdr:colOff>521804</xdr:colOff>
      <xdr:row>129</xdr:row>
      <xdr:rowOff>124239</xdr:rowOff>
    </xdr:to>
    <xdr:cxnSp macro="">
      <xdr:nvCxnSpPr>
        <xdr:cNvPr id="103" name="直線矢印コネクタ 102">
          <a:extLst>
            <a:ext uri="{FF2B5EF4-FFF2-40B4-BE49-F238E27FC236}">
              <a16:creationId xmlns:a16="http://schemas.microsoft.com/office/drawing/2014/main" id="{D5B1EFB2-4C44-47F5-9BC1-17427C219F47}"/>
            </a:ext>
          </a:extLst>
        </xdr:cNvPr>
        <xdr:cNvCxnSpPr>
          <a:endCxn id="102" idx="4"/>
        </xdr:cNvCxnSpPr>
      </xdr:nvCxnSpPr>
      <xdr:spPr>
        <a:xfrm flipH="1" flipV="1">
          <a:off x="9136724" y="32595183"/>
          <a:ext cx="46480" cy="39665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590550</xdr:colOff>
      <xdr:row>129</xdr:row>
      <xdr:rowOff>133350</xdr:rowOff>
    </xdr:from>
    <xdr:to>
      <xdr:col>23</xdr:col>
      <xdr:colOff>349250</xdr:colOff>
      <xdr:row>132</xdr:row>
      <xdr:rowOff>180975</xdr:rowOff>
    </xdr:to>
    <xdr:sp macro="" textlink="">
      <xdr:nvSpPr>
        <xdr:cNvPr id="104" name="テキスト ボックス 103">
          <a:extLst>
            <a:ext uri="{FF2B5EF4-FFF2-40B4-BE49-F238E27FC236}">
              <a16:creationId xmlns:a16="http://schemas.microsoft.com/office/drawing/2014/main" id="{F277C694-2710-42EA-82F8-44810650FCE5}"/>
            </a:ext>
          </a:extLst>
        </xdr:cNvPr>
        <xdr:cNvSpPr txBox="1"/>
      </xdr:nvSpPr>
      <xdr:spPr>
        <a:xfrm>
          <a:off x="13192125" y="33070800"/>
          <a:ext cx="4797425" cy="742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■ボイラー・給湯器の負荷率について</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・更新前設備の使用実績を基に記載してください。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149091</xdr:colOff>
      <xdr:row>125</xdr:row>
      <xdr:rowOff>149088</xdr:rowOff>
    </xdr:from>
    <xdr:to>
      <xdr:col>17</xdr:col>
      <xdr:colOff>142177</xdr:colOff>
      <xdr:row>127</xdr:row>
      <xdr:rowOff>101463</xdr:rowOff>
    </xdr:to>
    <xdr:sp macro="" textlink="">
      <xdr:nvSpPr>
        <xdr:cNvPr id="105" name="楕円 104">
          <a:extLst>
            <a:ext uri="{FF2B5EF4-FFF2-40B4-BE49-F238E27FC236}">
              <a16:creationId xmlns:a16="http://schemas.microsoft.com/office/drawing/2014/main" id="{E8E13963-DDCB-46B0-BC6C-862CC9E3E724}"/>
            </a:ext>
          </a:extLst>
        </xdr:cNvPr>
        <xdr:cNvSpPr/>
      </xdr:nvSpPr>
      <xdr:spPr>
        <a:xfrm>
          <a:off x="10775816" y="32092763"/>
          <a:ext cx="1313886" cy="4254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120</xdr:row>
      <xdr:rowOff>49698</xdr:rowOff>
    </xdr:from>
    <xdr:to>
      <xdr:col>21</xdr:col>
      <xdr:colOff>642146</xdr:colOff>
      <xdr:row>122</xdr:row>
      <xdr:rowOff>109307</xdr:rowOff>
    </xdr:to>
    <xdr:sp macro="" textlink="">
      <xdr:nvSpPr>
        <xdr:cNvPr id="106" name="テキスト ボックス 105">
          <a:extLst>
            <a:ext uri="{FF2B5EF4-FFF2-40B4-BE49-F238E27FC236}">
              <a16:creationId xmlns:a16="http://schemas.microsoft.com/office/drawing/2014/main" id="{5AFBCFF9-B8BB-42D6-9B18-C7DA6E965BF8}"/>
            </a:ext>
          </a:extLst>
        </xdr:cNvPr>
        <xdr:cNvSpPr txBox="1"/>
      </xdr:nvSpPr>
      <xdr:spPr>
        <a:xfrm>
          <a:off x="9315450" y="30583673"/>
          <a:ext cx="6525421" cy="51680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■稼働時間及び年間使用日数は、実際に設備を点灯している時間及び日数を記載してください。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×365</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3,650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年（年間稼働時間等、色なしのセルは自動計算されます。）</a:t>
          </a:r>
        </a:p>
      </xdr:txBody>
    </xdr:sp>
    <xdr:clientData/>
  </xdr:twoCellAnchor>
  <xdr:twoCellAnchor>
    <xdr:from>
      <xdr:col>16</xdr:col>
      <xdr:colOff>145634</xdr:colOff>
      <xdr:row>122</xdr:row>
      <xdr:rowOff>114300</xdr:rowOff>
    </xdr:from>
    <xdr:to>
      <xdr:col>16</xdr:col>
      <xdr:colOff>560615</xdr:colOff>
      <xdr:row>125</xdr:row>
      <xdr:rowOff>149088</xdr:rowOff>
    </xdr:to>
    <xdr:cxnSp macro="">
      <xdr:nvCxnSpPr>
        <xdr:cNvPr id="107" name="直線矢印コネクタ 106">
          <a:extLst>
            <a:ext uri="{FF2B5EF4-FFF2-40B4-BE49-F238E27FC236}">
              <a16:creationId xmlns:a16="http://schemas.microsoft.com/office/drawing/2014/main" id="{D592428B-7073-4E4D-A9DE-06D35EF310C8}"/>
            </a:ext>
          </a:extLst>
        </xdr:cNvPr>
        <xdr:cNvCxnSpPr>
          <a:endCxn id="105" idx="0"/>
        </xdr:cNvCxnSpPr>
      </xdr:nvCxnSpPr>
      <xdr:spPr>
        <a:xfrm flipH="1">
          <a:off x="11429584" y="31108650"/>
          <a:ext cx="421331" cy="98411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464655</xdr:colOff>
      <xdr:row>127</xdr:row>
      <xdr:rowOff>50938</xdr:rowOff>
    </xdr:from>
    <xdr:to>
      <xdr:col>18</xdr:col>
      <xdr:colOff>595755</xdr:colOff>
      <xdr:row>129</xdr:row>
      <xdr:rowOff>126781</xdr:rowOff>
    </xdr:to>
    <xdr:cxnSp macro="">
      <xdr:nvCxnSpPr>
        <xdr:cNvPr id="108" name="直線矢印コネクタ 107">
          <a:extLst>
            <a:ext uri="{FF2B5EF4-FFF2-40B4-BE49-F238E27FC236}">
              <a16:creationId xmlns:a16="http://schemas.microsoft.com/office/drawing/2014/main" id="{031BAEC4-C115-48F7-B8E0-C6226D7E0294}"/>
            </a:ext>
          </a:extLst>
        </xdr:cNvPr>
        <xdr:cNvCxnSpPr>
          <a:endCxn id="109" idx="4"/>
        </xdr:cNvCxnSpPr>
      </xdr:nvCxnSpPr>
      <xdr:spPr>
        <a:xfrm flipH="1" flipV="1">
          <a:off x="13069405" y="32461338"/>
          <a:ext cx="131100" cy="53304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114300</xdr:colOff>
      <xdr:row>125</xdr:row>
      <xdr:rowOff>190500</xdr:rowOff>
    </xdr:from>
    <xdr:to>
      <xdr:col>19</xdr:col>
      <xdr:colOff>129209</xdr:colOff>
      <xdr:row>127</xdr:row>
      <xdr:rowOff>50938</xdr:rowOff>
    </xdr:to>
    <xdr:sp macro="" textlink="">
      <xdr:nvSpPr>
        <xdr:cNvPr id="109" name="楕円 108">
          <a:extLst>
            <a:ext uri="{FF2B5EF4-FFF2-40B4-BE49-F238E27FC236}">
              <a16:creationId xmlns:a16="http://schemas.microsoft.com/office/drawing/2014/main" id="{7BE6A17A-F5E8-447E-AE4C-6A1AEACB613F}"/>
            </a:ext>
          </a:extLst>
        </xdr:cNvPr>
        <xdr:cNvSpPr/>
      </xdr:nvSpPr>
      <xdr:spPr>
        <a:xfrm>
          <a:off x="12715875" y="32137350"/>
          <a:ext cx="111663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676275</xdr:colOff>
      <xdr:row>125</xdr:row>
      <xdr:rowOff>152400</xdr:rowOff>
    </xdr:from>
    <xdr:to>
      <xdr:col>30</xdr:col>
      <xdr:colOff>273075</xdr:colOff>
      <xdr:row>127</xdr:row>
      <xdr:rowOff>104775</xdr:rowOff>
    </xdr:to>
    <xdr:sp macro="" textlink="">
      <xdr:nvSpPr>
        <xdr:cNvPr id="110" name="楕円 109">
          <a:extLst>
            <a:ext uri="{FF2B5EF4-FFF2-40B4-BE49-F238E27FC236}">
              <a16:creationId xmlns:a16="http://schemas.microsoft.com/office/drawing/2014/main" id="{A874066F-403D-42A8-B50E-E2C16CC6CB3F}"/>
            </a:ext>
          </a:extLst>
        </xdr:cNvPr>
        <xdr:cNvSpPr/>
      </xdr:nvSpPr>
      <xdr:spPr>
        <a:xfrm>
          <a:off x="20266025" y="32099250"/>
          <a:ext cx="225110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387351</xdr:colOff>
      <xdr:row>134</xdr:row>
      <xdr:rowOff>44450</xdr:rowOff>
    </xdr:from>
    <xdr:to>
      <xdr:col>37</xdr:col>
      <xdr:colOff>63501</xdr:colOff>
      <xdr:row>135</xdr:row>
      <xdr:rowOff>219075</xdr:rowOff>
    </xdr:to>
    <xdr:sp macro="" textlink="">
      <xdr:nvSpPr>
        <xdr:cNvPr id="111" name="テキスト ボックス 110">
          <a:extLst>
            <a:ext uri="{FF2B5EF4-FFF2-40B4-BE49-F238E27FC236}">
              <a16:creationId xmlns:a16="http://schemas.microsoft.com/office/drawing/2014/main" id="{F02A9E69-51B7-4247-A9DD-AA6AF1BE66A7}"/>
            </a:ext>
          </a:extLst>
        </xdr:cNvPr>
        <xdr:cNvSpPr txBox="1"/>
      </xdr:nvSpPr>
      <xdr:spPr>
        <a:xfrm>
          <a:off x="22828251" y="33048575"/>
          <a:ext cx="4276725" cy="4032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■定格（標準）加熱能力・相当蒸発量等から算定してください。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485775</xdr:colOff>
      <xdr:row>131</xdr:row>
      <xdr:rowOff>142875</xdr:rowOff>
    </xdr:from>
    <xdr:to>
      <xdr:col>29</xdr:col>
      <xdr:colOff>482175</xdr:colOff>
      <xdr:row>133</xdr:row>
      <xdr:rowOff>95250</xdr:rowOff>
    </xdr:to>
    <xdr:sp macro="" textlink="">
      <xdr:nvSpPr>
        <xdr:cNvPr id="112" name="楕円 111">
          <a:extLst>
            <a:ext uri="{FF2B5EF4-FFF2-40B4-BE49-F238E27FC236}">
              <a16:creationId xmlns:a16="http://schemas.microsoft.com/office/drawing/2014/main" id="{7CA1FF9E-9F89-4297-844C-DF2F5E09B736}"/>
            </a:ext>
          </a:extLst>
        </xdr:cNvPr>
        <xdr:cNvSpPr/>
      </xdr:nvSpPr>
      <xdr:spPr>
        <a:xfrm>
          <a:off x="20751800" y="33477200"/>
          <a:ext cx="13172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390526</xdr:colOff>
      <xdr:row>131</xdr:row>
      <xdr:rowOff>219076</xdr:rowOff>
    </xdr:from>
    <xdr:to>
      <xdr:col>32</xdr:col>
      <xdr:colOff>314326</xdr:colOff>
      <xdr:row>133</xdr:row>
      <xdr:rowOff>19050</xdr:rowOff>
    </xdr:to>
    <xdr:sp macro="" textlink="">
      <xdr:nvSpPr>
        <xdr:cNvPr id="113" name="テキスト ボックス 112">
          <a:extLst>
            <a:ext uri="{FF2B5EF4-FFF2-40B4-BE49-F238E27FC236}">
              <a16:creationId xmlns:a16="http://schemas.microsoft.com/office/drawing/2014/main" id="{ED950EF1-85A0-461C-8CF7-F2E4B198841D}"/>
            </a:ext>
          </a:extLst>
        </xdr:cNvPr>
        <xdr:cNvSpPr txBox="1"/>
      </xdr:nvSpPr>
      <xdr:spPr>
        <a:xfrm>
          <a:off x="22628226" y="33553401"/>
          <a:ext cx="1238250" cy="260349"/>
        </a:xfrm>
        <a:prstGeom prst="rect">
          <a:avLst/>
        </a:prstGeom>
        <a:solidFill>
          <a:schemeClr val="lt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7.2÷1.64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292451</xdr:colOff>
      <xdr:row>133</xdr:row>
      <xdr:rowOff>34804</xdr:rowOff>
    </xdr:from>
    <xdr:to>
      <xdr:col>30</xdr:col>
      <xdr:colOff>387351</xdr:colOff>
      <xdr:row>135</xdr:row>
      <xdr:rowOff>17463</xdr:rowOff>
    </xdr:to>
    <xdr:cxnSp macro="">
      <xdr:nvCxnSpPr>
        <xdr:cNvPr id="114" name="直線矢印コネクタ 113">
          <a:extLst>
            <a:ext uri="{FF2B5EF4-FFF2-40B4-BE49-F238E27FC236}">
              <a16:creationId xmlns:a16="http://schemas.microsoft.com/office/drawing/2014/main" id="{460FDB31-F989-41EE-8005-32F1A9AA974F}"/>
            </a:ext>
          </a:extLst>
        </xdr:cNvPr>
        <xdr:cNvCxnSpPr>
          <a:stCxn id="111" idx="1"/>
          <a:endCxn id="112" idx="5"/>
        </xdr:cNvCxnSpPr>
      </xdr:nvCxnSpPr>
      <xdr:spPr>
        <a:xfrm flipH="1" flipV="1">
          <a:off x="22066601" y="32810329"/>
          <a:ext cx="761650" cy="43985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474675</xdr:colOff>
      <xdr:row>127</xdr:row>
      <xdr:rowOff>104775</xdr:rowOff>
    </xdr:from>
    <xdr:to>
      <xdr:col>28</xdr:col>
      <xdr:colOff>483976</xdr:colOff>
      <xdr:row>131</xdr:row>
      <xdr:rowOff>142875</xdr:rowOff>
    </xdr:to>
    <xdr:cxnSp macro="">
      <xdr:nvCxnSpPr>
        <xdr:cNvPr id="115" name="直線矢印コネクタ 114">
          <a:extLst>
            <a:ext uri="{FF2B5EF4-FFF2-40B4-BE49-F238E27FC236}">
              <a16:creationId xmlns:a16="http://schemas.microsoft.com/office/drawing/2014/main" id="{E63F713E-6600-4942-A083-BADDA0D6470F}"/>
            </a:ext>
          </a:extLst>
        </xdr:cNvPr>
        <xdr:cNvCxnSpPr>
          <a:stCxn id="112" idx="0"/>
          <a:endCxn id="110" idx="4"/>
        </xdr:cNvCxnSpPr>
      </xdr:nvCxnSpPr>
      <xdr:spPr>
        <a:xfrm flipH="1" flipV="1">
          <a:off x="21401100" y="32515175"/>
          <a:ext cx="12476" cy="9620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29</xdr:col>
      <xdr:colOff>482175</xdr:colOff>
      <xdr:row>132</xdr:row>
      <xdr:rowOff>119062</xdr:rowOff>
    </xdr:from>
    <xdr:to>
      <xdr:col>30</xdr:col>
      <xdr:colOff>390526</xdr:colOff>
      <xdr:row>132</xdr:row>
      <xdr:rowOff>119063</xdr:rowOff>
    </xdr:to>
    <xdr:cxnSp macro="">
      <xdr:nvCxnSpPr>
        <xdr:cNvPr id="116" name="直線矢印コネクタ 115">
          <a:extLst>
            <a:ext uri="{FF2B5EF4-FFF2-40B4-BE49-F238E27FC236}">
              <a16:creationId xmlns:a16="http://schemas.microsoft.com/office/drawing/2014/main" id="{9DD27830-E7E5-464C-877D-37D42CF964D4}"/>
            </a:ext>
          </a:extLst>
        </xdr:cNvPr>
        <xdr:cNvCxnSpPr>
          <a:stCxn id="112" idx="6"/>
          <a:endCxn id="113" idx="1"/>
        </xdr:cNvCxnSpPr>
      </xdr:nvCxnSpPr>
      <xdr:spPr>
        <a:xfrm>
          <a:off x="22069000" y="33688337"/>
          <a:ext cx="559226" cy="1"/>
        </a:xfrm>
        <a:prstGeom prst="straightConnector1">
          <a:avLst/>
        </a:prstGeom>
        <a:ln>
          <a:solidFill>
            <a:srgbClr val="FFC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24</xdr:col>
      <xdr:colOff>488673</xdr:colOff>
      <xdr:row>138</xdr:row>
      <xdr:rowOff>49695</xdr:rowOff>
    </xdr:from>
    <xdr:to>
      <xdr:col>27</xdr:col>
      <xdr:colOff>438977</xdr:colOff>
      <xdr:row>141</xdr:row>
      <xdr:rowOff>41414</xdr:rowOff>
    </xdr:to>
    <xdr:sp macro="" textlink="">
      <xdr:nvSpPr>
        <xdr:cNvPr id="117" name="テキスト ボックス 116">
          <a:extLst>
            <a:ext uri="{FF2B5EF4-FFF2-40B4-BE49-F238E27FC236}">
              <a16:creationId xmlns:a16="http://schemas.microsoft.com/office/drawing/2014/main" id="{85904249-749B-4ABF-BCCF-C374D27EADD2}"/>
            </a:ext>
          </a:extLst>
        </xdr:cNvPr>
        <xdr:cNvSpPr txBox="1"/>
      </xdr:nvSpPr>
      <xdr:spPr>
        <a:xfrm>
          <a:off x="18783023" y="34984220"/>
          <a:ext cx="1925154" cy="683869"/>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●最大・冬季能力など、定格（標準）以外の能力では算定しないでください。</a:t>
          </a:r>
        </a:p>
      </xdr:txBody>
    </xdr:sp>
    <xdr:clientData/>
  </xdr:twoCellAnchor>
  <xdr:twoCellAnchor>
    <xdr:from>
      <xdr:col>25</xdr:col>
      <xdr:colOff>420123</xdr:colOff>
      <xdr:row>133</xdr:row>
      <xdr:rowOff>231915</xdr:rowOff>
    </xdr:from>
    <xdr:to>
      <xdr:col>26</xdr:col>
      <xdr:colOff>488667</xdr:colOff>
      <xdr:row>136</xdr:row>
      <xdr:rowOff>51328</xdr:rowOff>
    </xdr:to>
    <xdr:sp macro="" textlink="">
      <xdr:nvSpPr>
        <xdr:cNvPr id="118" name="楕円 117">
          <a:extLst>
            <a:ext uri="{FF2B5EF4-FFF2-40B4-BE49-F238E27FC236}">
              <a16:creationId xmlns:a16="http://schemas.microsoft.com/office/drawing/2014/main" id="{263AA3D1-9762-4328-B1F4-A51B34D4AD38}"/>
            </a:ext>
          </a:extLst>
        </xdr:cNvPr>
        <xdr:cNvSpPr/>
      </xdr:nvSpPr>
      <xdr:spPr>
        <a:xfrm>
          <a:off x="19374873" y="34020265"/>
          <a:ext cx="722594" cy="508388"/>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110667</xdr:colOff>
      <xdr:row>136</xdr:row>
      <xdr:rowOff>51328</xdr:rowOff>
    </xdr:from>
    <xdr:to>
      <xdr:col>26</xdr:col>
      <xdr:colOff>120097</xdr:colOff>
      <xdr:row>138</xdr:row>
      <xdr:rowOff>49695</xdr:rowOff>
    </xdr:to>
    <xdr:cxnSp macro="">
      <xdr:nvCxnSpPr>
        <xdr:cNvPr id="119" name="直線矢印コネクタ 118">
          <a:extLst>
            <a:ext uri="{FF2B5EF4-FFF2-40B4-BE49-F238E27FC236}">
              <a16:creationId xmlns:a16="http://schemas.microsoft.com/office/drawing/2014/main" id="{C45800A1-E304-42FC-822B-E66EB5A540FC}"/>
            </a:ext>
          </a:extLst>
        </xdr:cNvPr>
        <xdr:cNvCxnSpPr>
          <a:stCxn id="117" idx="0"/>
          <a:endCxn id="118" idx="4"/>
        </xdr:cNvCxnSpPr>
      </xdr:nvCxnSpPr>
      <xdr:spPr>
        <a:xfrm flipH="1" flipV="1">
          <a:off x="19719467" y="34528653"/>
          <a:ext cx="15780" cy="455567"/>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704850</xdr:colOff>
      <xdr:row>160</xdr:row>
      <xdr:rowOff>151988</xdr:rowOff>
    </xdr:from>
    <xdr:to>
      <xdr:col>5</xdr:col>
      <xdr:colOff>43500</xdr:colOff>
      <xdr:row>162</xdr:row>
      <xdr:rowOff>104363</xdr:rowOff>
    </xdr:to>
    <xdr:sp macro="" textlink="">
      <xdr:nvSpPr>
        <xdr:cNvPr id="120" name="楕円 119">
          <a:extLst>
            <a:ext uri="{FF2B5EF4-FFF2-40B4-BE49-F238E27FC236}">
              <a16:creationId xmlns:a16="http://schemas.microsoft.com/office/drawing/2014/main" id="{20EFB85B-4D49-46DA-AD51-9AB490D0B398}"/>
            </a:ext>
          </a:extLst>
        </xdr:cNvPr>
        <xdr:cNvSpPr/>
      </xdr:nvSpPr>
      <xdr:spPr>
        <a:xfrm>
          <a:off x="1362075" y="40452263"/>
          <a:ext cx="2618425"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762000</xdr:colOff>
      <xdr:row>146</xdr:row>
      <xdr:rowOff>200025</xdr:rowOff>
    </xdr:from>
    <xdr:to>
      <xdr:col>9</xdr:col>
      <xdr:colOff>555568</xdr:colOff>
      <xdr:row>155</xdr:row>
      <xdr:rowOff>200025</xdr:rowOff>
    </xdr:to>
    <xdr:sp macro="" textlink="">
      <xdr:nvSpPr>
        <xdr:cNvPr id="121" name="テキスト ボックス 120">
          <a:extLst>
            <a:ext uri="{FF2B5EF4-FFF2-40B4-BE49-F238E27FC236}">
              <a16:creationId xmlns:a16="http://schemas.microsoft.com/office/drawing/2014/main" id="{4C54FAF5-15E7-45F8-96F0-B15C1EED06B7}"/>
            </a:ext>
          </a:extLst>
        </xdr:cNvPr>
        <xdr:cNvSpPr txBox="1"/>
      </xdr:nvSpPr>
      <xdr:spPr>
        <a:xfrm>
          <a:off x="2257425" y="37030025"/>
          <a:ext cx="4956118" cy="20574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■仕様書等にある、定格出力等を入力してください。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6</xdr:col>
      <xdr:colOff>590550</xdr:colOff>
      <xdr:row>160</xdr:row>
      <xdr:rowOff>151988</xdr:rowOff>
    </xdr:from>
    <xdr:to>
      <xdr:col>8</xdr:col>
      <xdr:colOff>658950</xdr:colOff>
      <xdr:row>162</xdr:row>
      <xdr:rowOff>104363</xdr:rowOff>
    </xdr:to>
    <xdr:sp macro="" textlink="">
      <xdr:nvSpPr>
        <xdr:cNvPr id="122" name="楕円 121">
          <a:extLst>
            <a:ext uri="{FF2B5EF4-FFF2-40B4-BE49-F238E27FC236}">
              <a16:creationId xmlns:a16="http://schemas.microsoft.com/office/drawing/2014/main" id="{114D709D-0E29-4746-81DE-A44CED00DEE3}"/>
            </a:ext>
          </a:extLst>
        </xdr:cNvPr>
        <xdr:cNvSpPr/>
      </xdr:nvSpPr>
      <xdr:spPr>
        <a:xfrm>
          <a:off x="5181600" y="40452263"/>
          <a:ext cx="1474925"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76200</xdr:colOff>
      <xdr:row>160</xdr:row>
      <xdr:rowOff>114300</xdr:rowOff>
    </xdr:from>
    <xdr:to>
      <xdr:col>4</xdr:col>
      <xdr:colOff>580200</xdr:colOff>
      <xdr:row>162</xdr:row>
      <xdr:rowOff>142050</xdr:rowOff>
    </xdr:to>
    <xdr:sp macro="" textlink="">
      <xdr:nvSpPr>
        <xdr:cNvPr id="123" name="楕円 122">
          <a:extLst>
            <a:ext uri="{FF2B5EF4-FFF2-40B4-BE49-F238E27FC236}">
              <a16:creationId xmlns:a16="http://schemas.microsoft.com/office/drawing/2014/main" id="{5690DE35-302A-427D-9409-B927F32B25EA}"/>
            </a:ext>
          </a:extLst>
        </xdr:cNvPr>
        <xdr:cNvSpPr/>
      </xdr:nvSpPr>
      <xdr:spPr>
        <a:xfrm>
          <a:off x="3352800" y="40414575"/>
          <a:ext cx="507175"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104775</xdr:colOff>
      <xdr:row>160</xdr:row>
      <xdr:rowOff>114300</xdr:rowOff>
    </xdr:from>
    <xdr:to>
      <xdr:col>7</xdr:col>
      <xdr:colOff>608775</xdr:colOff>
      <xdr:row>162</xdr:row>
      <xdr:rowOff>142050</xdr:rowOff>
    </xdr:to>
    <xdr:sp macro="" textlink="">
      <xdr:nvSpPr>
        <xdr:cNvPr id="124" name="楕円 123">
          <a:extLst>
            <a:ext uri="{FF2B5EF4-FFF2-40B4-BE49-F238E27FC236}">
              <a16:creationId xmlns:a16="http://schemas.microsoft.com/office/drawing/2014/main" id="{14410ABC-F916-45EF-BAA2-9F71ED563533}"/>
            </a:ext>
          </a:extLst>
        </xdr:cNvPr>
        <xdr:cNvSpPr/>
      </xdr:nvSpPr>
      <xdr:spPr>
        <a:xfrm>
          <a:off x="5445125" y="40414575"/>
          <a:ext cx="507175"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155100</xdr:colOff>
      <xdr:row>155</xdr:row>
      <xdr:rowOff>209550</xdr:rowOff>
    </xdr:from>
    <xdr:to>
      <xdr:col>4</xdr:col>
      <xdr:colOff>76200</xdr:colOff>
      <xdr:row>160</xdr:row>
      <xdr:rowOff>151988</xdr:rowOff>
    </xdr:to>
    <xdr:cxnSp macro="">
      <xdr:nvCxnSpPr>
        <xdr:cNvPr id="125" name="直線矢印コネクタ 124">
          <a:extLst>
            <a:ext uri="{FF2B5EF4-FFF2-40B4-BE49-F238E27FC236}">
              <a16:creationId xmlns:a16="http://schemas.microsoft.com/office/drawing/2014/main" id="{35315DD3-101F-4D01-8365-854D605E407B}"/>
            </a:ext>
          </a:extLst>
        </xdr:cNvPr>
        <xdr:cNvCxnSpPr>
          <a:endCxn id="120" idx="0"/>
        </xdr:cNvCxnSpPr>
      </xdr:nvCxnSpPr>
      <xdr:spPr>
        <a:xfrm flipH="1">
          <a:off x="2622075" y="39100125"/>
          <a:ext cx="730725" cy="13521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304800</xdr:colOff>
      <xdr:row>155</xdr:row>
      <xdr:rowOff>190500</xdr:rowOff>
    </xdr:from>
    <xdr:to>
      <xdr:col>7</xdr:col>
      <xdr:colOff>624750</xdr:colOff>
      <xdr:row>160</xdr:row>
      <xdr:rowOff>151988</xdr:rowOff>
    </xdr:to>
    <xdr:cxnSp macro="">
      <xdr:nvCxnSpPr>
        <xdr:cNvPr id="126" name="直線矢印コネクタ 125">
          <a:extLst>
            <a:ext uri="{FF2B5EF4-FFF2-40B4-BE49-F238E27FC236}">
              <a16:creationId xmlns:a16="http://schemas.microsoft.com/office/drawing/2014/main" id="{CCB666B5-E390-4589-BE15-AB709BC06E6C}"/>
            </a:ext>
          </a:extLst>
        </xdr:cNvPr>
        <xdr:cNvCxnSpPr>
          <a:endCxn id="122" idx="0"/>
        </xdr:cNvCxnSpPr>
      </xdr:nvCxnSpPr>
      <xdr:spPr>
        <a:xfrm>
          <a:off x="5648325" y="39081075"/>
          <a:ext cx="316775" cy="13711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219075</xdr:colOff>
      <xdr:row>164</xdr:row>
      <xdr:rowOff>142875</xdr:rowOff>
    </xdr:from>
    <xdr:to>
      <xdr:col>10</xdr:col>
      <xdr:colOff>133351</xdr:colOff>
      <xdr:row>166</xdr:row>
      <xdr:rowOff>28575</xdr:rowOff>
    </xdr:to>
    <xdr:sp macro="" textlink="">
      <xdr:nvSpPr>
        <xdr:cNvPr id="127" name="テキスト ボックス 126">
          <a:extLst>
            <a:ext uri="{FF2B5EF4-FFF2-40B4-BE49-F238E27FC236}">
              <a16:creationId xmlns:a16="http://schemas.microsoft.com/office/drawing/2014/main" id="{84561623-36EF-4A85-A206-2909CE342FC0}"/>
            </a:ext>
          </a:extLst>
        </xdr:cNvPr>
        <xdr:cNvSpPr txBox="1"/>
      </xdr:nvSpPr>
      <xdr:spPr>
        <a:xfrm>
          <a:off x="2682875" y="41354375"/>
          <a:ext cx="4794251" cy="342900"/>
        </a:xfrm>
        <a:prstGeom prst="rect">
          <a:avLst/>
        </a:prstGeom>
        <a:solidFill>
          <a:srgbClr val="FBFBFB"/>
        </a:solidFill>
        <a:ln w="1905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先に規格をプルダウンから選ぶことで、定格出力が選択可能になります。</a:t>
          </a:r>
        </a:p>
      </xdr:txBody>
    </xdr:sp>
    <xdr:clientData/>
  </xdr:twoCellAnchor>
  <xdr:twoCellAnchor>
    <xdr:from>
      <xdr:col>4</xdr:col>
      <xdr:colOff>328200</xdr:colOff>
      <xdr:row>162</xdr:row>
      <xdr:rowOff>142050</xdr:rowOff>
    </xdr:from>
    <xdr:to>
      <xdr:col>4</xdr:col>
      <xdr:colOff>495300</xdr:colOff>
      <xdr:row>164</xdr:row>
      <xdr:rowOff>142875</xdr:rowOff>
    </xdr:to>
    <xdr:cxnSp macro="">
      <xdr:nvCxnSpPr>
        <xdr:cNvPr id="128" name="直線矢印コネクタ 127">
          <a:extLst>
            <a:ext uri="{FF2B5EF4-FFF2-40B4-BE49-F238E27FC236}">
              <a16:creationId xmlns:a16="http://schemas.microsoft.com/office/drawing/2014/main" id="{95C59FE7-3B51-4D10-84DD-34C252FBDEAF}"/>
            </a:ext>
          </a:extLst>
        </xdr:cNvPr>
        <xdr:cNvCxnSpPr>
          <a:endCxn id="123" idx="4"/>
        </xdr:cNvCxnSpPr>
      </xdr:nvCxnSpPr>
      <xdr:spPr>
        <a:xfrm flipH="1" flipV="1">
          <a:off x="3607975" y="40902700"/>
          <a:ext cx="163925"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285750</xdr:colOff>
      <xdr:row>162</xdr:row>
      <xdr:rowOff>142050</xdr:rowOff>
    </xdr:from>
    <xdr:to>
      <xdr:col>7</xdr:col>
      <xdr:colOff>356775</xdr:colOff>
      <xdr:row>164</xdr:row>
      <xdr:rowOff>142875</xdr:rowOff>
    </xdr:to>
    <xdr:cxnSp macro="">
      <xdr:nvCxnSpPr>
        <xdr:cNvPr id="129" name="直線矢印コネクタ 128">
          <a:extLst>
            <a:ext uri="{FF2B5EF4-FFF2-40B4-BE49-F238E27FC236}">
              <a16:creationId xmlns:a16="http://schemas.microsoft.com/office/drawing/2014/main" id="{3854979B-9D2B-4140-A9D2-CFF96E48D7B1}"/>
            </a:ext>
          </a:extLst>
        </xdr:cNvPr>
        <xdr:cNvCxnSpPr>
          <a:endCxn id="124" idx="4"/>
        </xdr:cNvCxnSpPr>
      </xdr:nvCxnSpPr>
      <xdr:spPr>
        <a:xfrm flipV="1">
          <a:off x="5629275" y="40902700"/>
          <a:ext cx="67850"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266700</xdr:colOff>
      <xdr:row>160</xdr:row>
      <xdr:rowOff>104775</xdr:rowOff>
    </xdr:from>
    <xdr:to>
      <xdr:col>12</xdr:col>
      <xdr:colOff>84900</xdr:colOff>
      <xdr:row>162</xdr:row>
      <xdr:rowOff>132525</xdr:rowOff>
    </xdr:to>
    <xdr:sp macro="" textlink="">
      <xdr:nvSpPr>
        <xdr:cNvPr id="130" name="楕円 129">
          <a:extLst>
            <a:ext uri="{FF2B5EF4-FFF2-40B4-BE49-F238E27FC236}">
              <a16:creationId xmlns:a16="http://schemas.microsoft.com/office/drawing/2014/main" id="{C3C5453D-2429-4CD5-995F-4F991A12F42A}"/>
            </a:ext>
          </a:extLst>
        </xdr:cNvPr>
        <xdr:cNvSpPr/>
      </xdr:nvSpPr>
      <xdr:spPr>
        <a:xfrm>
          <a:off x="8267700" y="40401875"/>
          <a:ext cx="478600"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160</xdr:row>
      <xdr:rowOff>104775</xdr:rowOff>
    </xdr:from>
    <xdr:to>
      <xdr:col>12</xdr:col>
      <xdr:colOff>599250</xdr:colOff>
      <xdr:row>162</xdr:row>
      <xdr:rowOff>132525</xdr:rowOff>
    </xdr:to>
    <xdr:sp macro="" textlink="">
      <xdr:nvSpPr>
        <xdr:cNvPr id="131" name="楕円 130">
          <a:extLst>
            <a:ext uri="{FF2B5EF4-FFF2-40B4-BE49-F238E27FC236}">
              <a16:creationId xmlns:a16="http://schemas.microsoft.com/office/drawing/2014/main" id="{5465F6D8-ADFF-4019-8B3E-6100610B82D4}"/>
            </a:ext>
          </a:extLst>
        </xdr:cNvPr>
        <xdr:cNvSpPr/>
      </xdr:nvSpPr>
      <xdr:spPr>
        <a:xfrm>
          <a:off x="8753475" y="40401875"/>
          <a:ext cx="507175"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219075</xdr:colOff>
      <xdr:row>160</xdr:row>
      <xdr:rowOff>142463</xdr:rowOff>
    </xdr:from>
    <xdr:to>
      <xdr:col>15</xdr:col>
      <xdr:colOff>287475</xdr:colOff>
      <xdr:row>162</xdr:row>
      <xdr:rowOff>94838</xdr:rowOff>
    </xdr:to>
    <xdr:sp macro="" textlink="">
      <xdr:nvSpPr>
        <xdr:cNvPr id="132" name="楕円 131">
          <a:extLst>
            <a:ext uri="{FF2B5EF4-FFF2-40B4-BE49-F238E27FC236}">
              <a16:creationId xmlns:a16="http://schemas.microsoft.com/office/drawing/2014/main" id="{C9860516-82AB-4C43-98EB-9F343CA12ABC}"/>
            </a:ext>
          </a:extLst>
        </xdr:cNvPr>
        <xdr:cNvSpPr/>
      </xdr:nvSpPr>
      <xdr:spPr>
        <a:xfrm>
          <a:off x="9531350" y="40445913"/>
          <a:ext cx="1386025" cy="4064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160</xdr:row>
      <xdr:rowOff>114300</xdr:rowOff>
    </xdr:from>
    <xdr:to>
      <xdr:col>28</xdr:col>
      <xdr:colOff>589725</xdr:colOff>
      <xdr:row>162</xdr:row>
      <xdr:rowOff>142050</xdr:rowOff>
    </xdr:to>
    <xdr:sp macro="" textlink="">
      <xdr:nvSpPr>
        <xdr:cNvPr id="133" name="楕円 132">
          <a:extLst>
            <a:ext uri="{FF2B5EF4-FFF2-40B4-BE49-F238E27FC236}">
              <a16:creationId xmlns:a16="http://schemas.microsoft.com/office/drawing/2014/main" id="{C440C62D-954B-4E7C-AB01-89CEF1450716}"/>
            </a:ext>
          </a:extLst>
        </xdr:cNvPr>
        <xdr:cNvSpPr/>
      </xdr:nvSpPr>
      <xdr:spPr>
        <a:xfrm>
          <a:off x="21008975" y="40414575"/>
          <a:ext cx="507175"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148</xdr:row>
      <xdr:rowOff>9525</xdr:rowOff>
    </xdr:from>
    <xdr:to>
      <xdr:col>16</xdr:col>
      <xdr:colOff>552450</xdr:colOff>
      <xdr:row>155</xdr:row>
      <xdr:rowOff>190501</xdr:rowOff>
    </xdr:to>
    <xdr:sp macro="" textlink="">
      <xdr:nvSpPr>
        <xdr:cNvPr id="134" name="テキスト ボックス 133">
          <a:extLst>
            <a:ext uri="{FF2B5EF4-FFF2-40B4-BE49-F238E27FC236}">
              <a16:creationId xmlns:a16="http://schemas.microsoft.com/office/drawing/2014/main" id="{D1BE101A-D94B-4207-A1B9-E8D07B793A12}"/>
            </a:ext>
          </a:extLst>
        </xdr:cNvPr>
        <xdr:cNvSpPr txBox="1"/>
      </xdr:nvSpPr>
      <xdr:spPr>
        <a:xfrm>
          <a:off x="7439025" y="37357050"/>
          <a:ext cx="4400550" cy="17811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■負荷率について</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・次の方法等で確認して入力してください。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管理システム等で把握する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省エネ診断の診断結果報告書を参照する（受診済みの場合）</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施工事業者へ測定等を依頼する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メーカー等へ問い合わせる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495300</xdr:colOff>
      <xdr:row>155</xdr:row>
      <xdr:rowOff>200025</xdr:rowOff>
    </xdr:from>
    <xdr:to>
      <xdr:col>11</xdr:col>
      <xdr:colOff>495300</xdr:colOff>
      <xdr:row>160</xdr:row>
      <xdr:rowOff>104775</xdr:rowOff>
    </xdr:to>
    <xdr:cxnSp macro="">
      <xdr:nvCxnSpPr>
        <xdr:cNvPr id="135" name="直線矢印コネクタ 134">
          <a:extLst>
            <a:ext uri="{FF2B5EF4-FFF2-40B4-BE49-F238E27FC236}">
              <a16:creationId xmlns:a16="http://schemas.microsoft.com/office/drawing/2014/main" id="{2C7E5DB1-9712-4C56-A752-8726E481A701}"/>
            </a:ext>
          </a:extLst>
        </xdr:cNvPr>
        <xdr:cNvCxnSpPr>
          <a:endCxn id="130" idx="0"/>
        </xdr:cNvCxnSpPr>
      </xdr:nvCxnSpPr>
      <xdr:spPr>
        <a:xfrm>
          <a:off x="8496300" y="39087425"/>
          <a:ext cx="0" cy="13144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19049</xdr:colOff>
      <xdr:row>166</xdr:row>
      <xdr:rowOff>76200</xdr:rowOff>
    </xdr:from>
    <xdr:to>
      <xdr:col>22</xdr:col>
      <xdr:colOff>590550</xdr:colOff>
      <xdr:row>170</xdr:row>
      <xdr:rowOff>9525</xdr:rowOff>
    </xdr:to>
    <xdr:sp macro="" textlink="">
      <xdr:nvSpPr>
        <xdr:cNvPr id="136" name="テキスト ボックス 135">
          <a:extLst>
            <a:ext uri="{FF2B5EF4-FFF2-40B4-BE49-F238E27FC236}">
              <a16:creationId xmlns:a16="http://schemas.microsoft.com/office/drawing/2014/main" id="{BF51B77D-F466-4938-A275-AA446E0345B6}"/>
            </a:ext>
          </a:extLst>
        </xdr:cNvPr>
        <xdr:cNvSpPr txBox="1"/>
      </xdr:nvSpPr>
      <xdr:spPr>
        <a:xfrm>
          <a:off x="11306174" y="41748075"/>
          <a:ext cx="6267451" cy="844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■インバーターが導入されている、又は更新により導入する場合</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・インバーターの列で「○」を選択してください。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（インバーターの負荷率制御を考慮した算定へ自動計算されます。）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525441</xdr:colOff>
      <xdr:row>162</xdr:row>
      <xdr:rowOff>58716</xdr:rowOff>
    </xdr:from>
    <xdr:to>
      <xdr:col>16</xdr:col>
      <xdr:colOff>19049</xdr:colOff>
      <xdr:row>168</xdr:row>
      <xdr:rowOff>42863</xdr:rowOff>
    </xdr:to>
    <xdr:cxnSp macro="">
      <xdr:nvCxnSpPr>
        <xdr:cNvPr id="137" name="直線矢印コネクタ 136">
          <a:extLst>
            <a:ext uri="{FF2B5EF4-FFF2-40B4-BE49-F238E27FC236}">
              <a16:creationId xmlns:a16="http://schemas.microsoft.com/office/drawing/2014/main" id="{21C6C54A-58CD-4C32-BBDC-F24E827DDF28}"/>
            </a:ext>
          </a:extLst>
        </xdr:cNvPr>
        <xdr:cNvCxnSpPr>
          <a:stCxn id="136" idx="1"/>
          <a:endCxn id="131" idx="5"/>
        </xdr:cNvCxnSpPr>
      </xdr:nvCxnSpPr>
      <xdr:spPr>
        <a:xfrm flipH="1" flipV="1">
          <a:off x="9180491" y="40816191"/>
          <a:ext cx="2125683" cy="135892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22</xdr:col>
      <xdr:colOff>590550</xdr:colOff>
      <xdr:row>162</xdr:row>
      <xdr:rowOff>68241</xdr:rowOff>
    </xdr:from>
    <xdr:to>
      <xdr:col>28</xdr:col>
      <xdr:colOff>159534</xdr:colOff>
      <xdr:row>168</xdr:row>
      <xdr:rowOff>42863</xdr:rowOff>
    </xdr:to>
    <xdr:cxnSp macro="">
      <xdr:nvCxnSpPr>
        <xdr:cNvPr id="138" name="直線矢印コネクタ 137">
          <a:extLst>
            <a:ext uri="{FF2B5EF4-FFF2-40B4-BE49-F238E27FC236}">
              <a16:creationId xmlns:a16="http://schemas.microsoft.com/office/drawing/2014/main" id="{6596E83D-61F1-4EE5-8C4E-A2342C897967}"/>
            </a:ext>
          </a:extLst>
        </xdr:cNvPr>
        <xdr:cNvCxnSpPr>
          <a:stCxn id="136" idx="3"/>
          <a:endCxn id="133" idx="3"/>
        </xdr:cNvCxnSpPr>
      </xdr:nvCxnSpPr>
      <xdr:spPr>
        <a:xfrm flipV="1">
          <a:off x="17573625" y="40822541"/>
          <a:ext cx="3515509" cy="13525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381000</xdr:colOff>
      <xdr:row>149</xdr:row>
      <xdr:rowOff>95251</xdr:rowOff>
    </xdr:from>
    <xdr:to>
      <xdr:col>24</xdr:col>
      <xdr:colOff>228600</xdr:colOff>
      <xdr:row>151</xdr:row>
      <xdr:rowOff>171451</xdr:rowOff>
    </xdr:to>
    <xdr:sp macro="" textlink="">
      <xdr:nvSpPr>
        <xdr:cNvPr id="139" name="テキスト ボックス 138">
          <a:extLst>
            <a:ext uri="{FF2B5EF4-FFF2-40B4-BE49-F238E27FC236}">
              <a16:creationId xmlns:a16="http://schemas.microsoft.com/office/drawing/2014/main" id="{41E7A066-CA63-4D2A-853F-C1D148D54AD7}"/>
            </a:ext>
          </a:extLst>
        </xdr:cNvPr>
        <xdr:cNvSpPr txBox="1"/>
      </xdr:nvSpPr>
      <xdr:spPr>
        <a:xfrm>
          <a:off x="12325350" y="37614226"/>
          <a:ext cx="6200775" cy="5334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■年間稼働時間は、実際に設備を稼働している時間を入力してください。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×320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2,560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a:t>
          </a:r>
        </a:p>
      </xdr:txBody>
    </xdr:sp>
    <xdr:clientData/>
  </xdr:twoCellAnchor>
  <xdr:twoCellAnchor>
    <xdr:from>
      <xdr:col>15</xdr:col>
      <xdr:colOff>76592</xdr:colOff>
      <xdr:row>151</xdr:row>
      <xdr:rowOff>171450</xdr:rowOff>
    </xdr:from>
    <xdr:to>
      <xdr:col>18</xdr:col>
      <xdr:colOff>152400</xdr:colOff>
      <xdr:row>160</xdr:row>
      <xdr:rowOff>205234</xdr:rowOff>
    </xdr:to>
    <xdr:cxnSp macro="">
      <xdr:nvCxnSpPr>
        <xdr:cNvPr id="140" name="直線矢印コネクタ 139">
          <a:extLst>
            <a:ext uri="{FF2B5EF4-FFF2-40B4-BE49-F238E27FC236}">
              <a16:creationId xmlns:a16="http://schemas.microsoft.com/office/drawing/2014/main" id="{640F0D84-8895-4A04-9C19-233E73816A56}"/>
            </a:ext>
          </a:extLst>
        </xdr:cNvPr>
        <xdr:cNvCxnSpPr>
          <a:endCxn id="132" idx="7"/>
        </xdr:cNvCxnSpPr>
      </xdr:nvCxnSpPr>
      <xdr:spPr>
        <a:xfrm flipH="1">
          <a:off x="10706492" y="38147625"/>
          <a:ext cx="2047483" cy="235470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581027</xdr:colOff>
      <xdr:row>154</xdr:row>
      <xdr:rowOff>177800</xdr:rowOff>
    </xdr:from>
    <xdr:to>
      <xdr:col>21</xdr:col>
      <xdr:colOff>1323976</xdr:colOff>
      <xdr:row>156</xdr:row>
      <xdr:rowOff>133350</xdr:rowOff>
    </xdr:to>
    <xdr:sp macro="" textlink="">
      <xdr:nvSpPr>
        <xdr:cNvPr id="141" name="テキスト ボックス 140">
          <a:extLst>
            <a:ext uri="{FF2B5EF4-FFF2-40B4-BE49-F238E27FC236}">
              <a16:creationId xmlns:a16="http://schemas.microsoft.com/office/drawing/2014/main" id="{B78A0C6F-1640-41DA-A9AE-18DF74528862}"/>
            </a:ext>
          </a:extLst>
        </xdr:cNvPr>
        <xdr:cNvSpPr txBox="1"/>
      </xdr:nvSpPr>
      <xdr:spPr>
        <a:xfrm>
          <a:off x="13182602" y="38896925"/>
          <a:ext cx="3343274" cy="4127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■更新後の定格出力等を入力してください。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88900</xdr:colOff>
      <xdr:row>156</xdr:row>
      <xdr:rowOff>133350</xdr:rowOff>
    </xdr:from>
    <xdr:to>
      <xdr:col>20</xdr:col>
      <xdr:colOff>487364</xdr:colOff>
      <xdr:row>160</xdr:row>
      <xdr:rowOff>133349</xdr:rowOff>
    </xdr:to>
    <xdr:cxnSp macro="">
      <xdr:nvCxnSpPr>
        <xdr:cNvPr id="142" name="直線矢印コネクタ 141">
          <a:extLst>
            <a:ext uri="{FF2B5EF4-FFF2-40B4-BE49-F238E27FC236}">
              <a16:creationId xmlns:a16="http://schemas.microsoft.com/office/drawing/2014/main" id="{876E2A9B-870D-4632-B66A-6F258F6A1A95}"/>
            </a:ext>
          </a:extLst>
        </xdr:cNvPr>
        <xdr:cNvCxnSpPr>
          <a:cxnSpLocks/>
          <a:stCxn id="141" idx="2"/>
          <a:endCxn id="143" idx="0"/>
        </xdr:cNvCxnSpPr>
      </xdr:nvCxnSpPr>
      <xdr:spPr>
        <a:xfrm flipH="1">
          <a:off x="14452600" y="39309675"/>
          <a:ext cx="398464" cy="118109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1016000</xdr:colOff>
      <xdr:row>160</xdr:row>
      <xdr:rowOff>133349</xdr:rowOff>
    </xdr:from>
    <xdr:to>
      <xdr:col>21</xdr:col>
      <xdr:colOff>85725</xdr:colOff>
      <xdr:row>162</xdr:row>
      <xdr:rowOff>125099</xdr:rowOff>
    </xdr:to>
    <xdr:sp macro="" textlink="">
      <xdr:nvSpPr>
        <xdr:cNvPr id="143" name="楕円 142">
          <a:extLst>
            <a:ext uri="{FF2B5EF4-FFF2-40B4-BE49-F238E27FC236}">
              <a16:creationId xmlns:a16="http://schemas.microsoft.com/office/drawing/2014/main" id="{B206D4B5-CE3A-4A7A-8CCF-2D11D3EF15B0}"/>
            </a:ext>
          </a:extLst>
        </xdr:cNvPr>
        <xdr:cNvSpPr/>
      </xdr:nvSpPr>
      <xdr:spPr>
        <a:xfrm>
          <a:off x="13617575" y="40490774"/>
          <a:ext cx="1670050" cy="4489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400050</xdr:colOff>
      <xdr:row>175</xdr:row>
      <xdr:rowOff>66674</xdr:rowOff>
    </xdr:from>
    <xdr:to>
      <xdr:col>9</xdr:col>
      <xdr:colOff>257013</xdr:colOff>
      <xdr:row>183</xdr:row>
      <xdr:rowOff>139699</xdr:rowOff>
    </xdr:to>
    <xdr:sp macro="" textlink="">
      <xdr:nvSpPr>
        <xdr:cNvPr id="144" name="テキスト ボックス 143">
          <a:extLst>
            <a:ext uri="{FF2B5EF4-FFF2-40B4-BE49-F238E27FC236}">
              <a16:creationId xmlns:a16="http://schemas.microsoft.com/office/drawing/2014/main" id="{6A6E1466-5F56-4093-8184-C9506C37AE0F}"/>
            </a:ext>
          </a:extLst>
        </xdr:cNvPr>
        <xdr:cNvSpPr txBox="1"/>
      </xdr:nvSpPr>
      <xdr:spPr>
        <a:xfrm>
          <a:off x="1057275" y="44376974"/>
          <a:ext cx="5857713" cy="190182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■仕様書等にある、能力等を入力してください。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123825</xdr:colOff>
      <xdr:row>188</xdr:row>
      <xdr:rowOff>19050</xdr:rowOff>
    </xdr:from>
    <xdr:to>
      <xdr:col>8</xdr:col>
      <xdr:colOff>138734</xdr:colOff>
      <xdr:row>189</xdr:row>
      <xdr:rowOff>12838</xdr:rowOff>
    </xdr:to>
    <xdr:sp macro="" textlink="">
      <xdr:nvSpPr>
        <xdr:cNvPr id="145" name="楕円 144">
          <a:extLst>
            <a:ext uri="{FF2B5EF4-FFF2-40B4-BE49-F238E27FC236}">
              <a16:creationId xmlns:a16="http://schemas.microsoft.com/office/drawing/2014/main" id="{EEE270C5-BC8B-48E7-8B27-5A03FBE503D4}"/>
            </a:ext>
          </a:extLst>
        </xdr:cNvPr>
        <xdr:cNvSpPr/>
      </xdr:nvSpPr>
      <xdr:spPr>
        <a:xfrm>
          <a:off x="5464175" y="47320200"/>
          <a:ext cx="67848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123825</xdr:colOff>
      <xdr:row>188</xdr:row>
      <xdr:rowOff>19050</xdr:rowOff>
    </xdr:from>
    <xdr:to>
      <xdr:col>9</xdr:col>
      <xdr:colOff>138734</xdr:colOff>
      <xdr:row>189</xdr:row>
      <xdr:rowOff>12838</xdr:rowOff>
    </xdr:to>
    <xdr:sp macro="" textlink="">
      <xdr:nvSpPr>
        <xdr:cNvPr id="146" name="楕円 145">
          <a:extLst>
            <a:ext uri="{FF2B5EF4-FFF2-40B4-BE49-F238E27FC236}">
              <a16:creationId xmlns:a16="http://schemas.microsoft.com/office/drawing/2014/main" id="{635E8FDA-6F71-4F13-9F6E-E7AC4B961770}"/>
            </a:ext>
          </a:extLst>
        </xdr:cNvPr>
        <xdr:cNvSpPr/>
      </xdr:nvSpPr>
      <xdr:spPr>
        <a:xfrm>
          <a:off x="6121400" y="47320200"/>
          <a:ext cx="67848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742950</xdr:colOff>
      <xdr:row>187</xdr:row>
      <xdr:rowOff>61913</xdr:rowOff>
    </xdr:from>
    <xdr:to>
      <xdr:col>7</xdr:col>
      <xdr:colOff>47625</xdr:colOff>
      <xdr:row>189</xdr:row>
      <xdr:rowOff>195262</xdr:rowOff>
    </xdr:to>
    <xdr:sp macro="" textlink="">
      <xdr:nvSpPr>
        <xdr:cNvPr id="147" name="楕円 146">
          <a:extLst>
            <a:ext uri="{FF2B5EF4-FFF2-40B4-BE49-F238E27FC236}">
              <a16:creationId xmlns:a16="http://schemas.microsoft.com/office/drawing/2014/main" id="{0F33CBE2-F8EF-44AE-9E1F-5D0087CF47ED}"/>
            </a:ext>
          </a:extLst>
        </xdr:cNvPr>
        <xdr:cNvSpPr/>
      </xdr:nvSpPr>
      <xdr:spPr>
        <a:xfrm>
          <a:off x="1400175" y="47137638"/>
          <a:ext cx="3987800" cy="69532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117475</xdr:colOff>
      <xdr:row>183</xdr:row>
      <xdr:rowOff>139699</xdr:rowOff>
    </xdr:from>
    <xdr:to>
      <xdr:col>5</xdr:col>
      <xdr:colOff>52307</xdr:colOff>
      <xdr:row>187</xdr:row>
      <xdr:rowOff>65088</xdr:rowOff>
    </xdr:to>
    <xdr:cxnSp macro="">
      <xdr:nvCxnSpPr>
        <xdr:cNvPr id="148" name="直線矢印コネクタ 147">
          <a:extLst>
            <a:ext uri="{FF2B5EF4-FFF2-40B4-BE49-F238E27FC236}">
              <a16:creationId xmlns:a16="http://schemas.microsoft.com/office/drawing/2014/main" id="{349255F5-759E-433B-B06F-7C7424873845}"/>
            </a:ext>
          </a:extLst>
        </xdr:cNvPr>
        <xdr:cNvCxnSpPr>
          <a:stCxn id="144" idx="2"/>
          <a:endCxn id="147" idx="0"/>
        </xdr:cNvCxnSpPr>
      </xdr:nvCxnSpPr>
      <xdr:spPr>
        <a:xfrm flipH="1">
          <a:off x="3394075" y="46278799"/>
          <a:ext cx="592057" cy="91598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466725</xdr:colOff>
      <xdr:row>191</xdr:row>
      <xdr:rowOff>123825</xdr:rowOff>
    </xdr:from>
    <xdr:to>
      <xdr:col>14</xdr:col>
      <xdr:colOff>304800</xdr:colOff>
      <xdr:row>194</xdr:row>
      <xdr:rowOff>142875</xdr:rowOff>
    </xdr:to>
    <xdr:sp macro="" textlink="">
      <xdr:nvSpPr>
        <xdr:cNvPr id="149" name="テキスト ボックス 148">
          <a:extLst>
            <a:ext uri="{FF2B5EF4-FFF2-40B4-BE49-F238E27FC236}">
              <a16:creationId xmlns:a16="http://schemas.microsoft.com/office/drawing/2014/main" id="{112BA530-D748-4FAD-B131-3253ECC33E8E}"/>
            </a:ext>
          </a:extLst>
        </xdr:cNvPr>
        <xdr:cNvSpPr txBox="1"/>
      </xdr:nvSpPr>
      <xdr:spPr>
        <a:xfrm>
          <a:off x="6464300" y="48212375"/>
          <a:ext cx="3813175" cy="7048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■年間稼働時間は、実際に設備を稼働している時間を記載してください。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×365</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8,760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a:t>
          </a:r>
          <a:endPar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381000</xdr:colOff>
      <xdr:row>191</xdr:row>
      <xdr:rowOff>123826</xdr:rowOff>
    </xdr:from>
    <xdr:to>
      <xdr:col>7</xdr:col>
      <xdr:colOff>552450</xdr:colOff>
      <xdr:row>195</xdr:row>
      <xdr:rowOff>104776</xdr:rowOff>
    </xdr:to>
    <xdr:sp macro="" textlink="">
      <xdr:nvSpPr>
        <xdr:cNvPr id="150" name="テキスト ボックス 149">
          <a:extLst>
            <a:ext uri="{FF2B5EF4-FFF2-40B4-BE49-F238E27FC236}">
              <a16:creationId xmlns:a16="http://schemas.microsoft.com/office/drawing/2014/main" id="{160D85D7-8927-4E47-B75A-C594B30FA93E}"/>
            </a:ext>
          </a:extLst>
        </xdr:cNvPr>
        <xdr:cNvSpPr txBox="1"/>
      </xdr:nvSpPr>
      <xdr:spPr>
        <a:xfrm>
          <a:off x="1038225" y="48212376"/>
          <a:ext cx="4857750" cy="8953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■負荷率は、容量</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500kVA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以下は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500kVA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超は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を基準値としています。</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負荷率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を把握しており、そちらの値を用いたい場合は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直接入力して修正してください。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161925</xdr:colOff>
      <xdr:row>189</xdr:row>
      <xdr:rowOff>12838</xdr:rowOff>
    </xdr:from>
    <xdr:to>
      <xdr:col>7</xdr:col>
      <xdr:colOff>474180</xdr:colOff>
      <xdr:row>191</xdr:row>
      <xdr:rowOff>123825</xdr:rowOff>
    </xdr:to>
    <xdr:cxnSp macro="">
      <xdr:nvCxnSpPr>
        <xdr:cNvPr id="151" name="直線矢印コネクタ 150">
          <a:extLst>
            <a:ext uri="{FF2B5EF4-FFF2-40B4-BE49-F238E27FC236}">
              <a16:creationId xmlns:a16="http://schemas.microsoft.com/office/drawing/2014/main" id="{F5BE8FB7-24C8-45FF-A502-3FAC7AAB8646}"/>
            </a:ext>
          </a:extLst>
        </xdr:cNvPr>
        <xdr:cNvCxnSpPr>
          <a:endCxn id="145" idx="4"/>
        </xdr:cNvCxnSpPr>
      </xdr:nvCxnSpPr>
      <xdr:spPr>
        <a:xfrm flipV="1">
          <a:off x="5502275" y="47644188"/>
          <a:ext cx="315430" cy="568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474180</xdr:colOff>
      <xdr:row>189</xdr:row>
      <xdr:rowOff>12838</xdr:rowOff>
    </xdr:from>
    <xdr:to>
      <xdr:col>8</xdr:col>
      <xdr:colOff>657225</xdr:colOff>
      <xdr:row>191</xdr:row>
      <xdr:rowOff>123825</xdr:rowOff>
    </xdr:to>
    <xdr:cxnSp macro="">
      <xdr:nvCxnSpPr>
        <xdr:cNvPr id="152" name="直線矢印コネクタ 151">
          <a:extLst>
            <a:ext uri="{FF2B5EF4-FFF2-40B4-BE49-F238E27FC236}">
              <a16:creationId xmlns:a16="http://schemas.microsoft.com/office/drawing/2014/main" id="{302C3D96-941E-4014-96B8-719D15DA630B}"/>
            </a:ext>
          </a:extLst>
        </xdr:cNvPr>
        <xdr:cNvCxnSpPr>
          <a:endCxn id="146" idx="4"/>
        </xdr:cNvCxnSpPr>
      </xdr:nvCxnSpPr>
      <xdr:spPr>
        <a:xfrm flipH="1" flipV="1">
          <a:off x="6474930" y="47644188"/>
          <a:ext cx="179870" cy="568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552450</xdr:colOff>
      <xdr:row>187</xdr:row>
      <xdr:rowOff>61913</xdr:rowOff>
    </xdr:from>
    <xdr:to>
      <xdr:col>16</xdr:col>
      <xdr:colOff>295275</xdr:colOff>
      <xdr:row>189</xdr:row>
      <xdr:rowOff>195262</xdr:rowOff>
    </xdr:to>
    <xdr:sp macro="" textlink="">
      <xdr:nvSpPr>
        <xdr:cNvPr id="153" name="楕円 152">
          <a:extLst>
            <a:ext uri="{FF2B5EF4-FFF2-40B4-BE49-F238E27FC236}">
              <a16:creationId xmlns:a16="http://schemas.microsoft.com/office/drawing/2014/main" id="{19BCC7BA-576C-4089-90DF-2494DEDA9947}"/>
            </a:ext>
          </a:extLst>
        </xdr:cNvPr>
        <xdr:cNvSpPr/>
      </xdr:nvSpPr>
      <xdr:spPr>
        <a:xfrm>
          <a:off x="7896225" y="47137638"/>
          <a:ext cx="3683000" cy="69532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330200</xdr:colOff>
      <xdr:row>181</xdr:row>
      <xdr:rowOff>76200</xdr:rowOff>
    </xdr:from>
    <xdr:to>
      <xdr:col>16</xdr:col>
      <xdr:colOff>504539</xdr:colOff>
      <xdr:row>183</xdr:row>
      <xdr:rowOff>139700</xdr:rowOff>
    </xdr:to>
    <xdr:sp macro="" textlink="">
      <xdr:nvSpPr>
        <xdr:cNvPr id="154" name="テキスト ボックス 153">
          <a:extLst>
            <a:ext uri="{FF2B5EF4-FFF2-40B4-BE49-F238E27FC236}">
              <a16:creationId xmlns:a16="http://schemas.microsoft.com/office/drawing/2014/main" id="{BB54E262-B168-4372-AD29-4C8CC3B2B4AF}"/>
            </a:ext>
          </a:extLst>
        </xdr:cNvPr>
        <xdr:cNvSpPr txBox="1"/>
      </xdr:nvSpPr>
      <xdr:spPr>
        <a:xfrm>
          <a:off x="7673975" y="45758100"/>
          <a:ext cx="4117689" cy="5207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■更新後の能力等を記入してください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417370</xdr:colOff>
      <xdr:row>183</xdr:row>
      <xdr:rowOff>139700</xdr:rowOff>
    </xdr:from>
    <xdr:to>
      <xdr:col>13</xdr:col>
      <xdr:colOff>422275</xdr:colOff>
      <xdr:row>187</xdr:row>
      <xdr:rowOff>65088</xdr:rowOff>
    </xdr:to>
    <xdr:cxnSp macro="">
      <xdr:nvCxnSpPr>
        <xdr:cNvPr id="155" name="直線矢印コネクタ 154">
          <a:extLst>
            <a:ext uri="{FF2B5EF4-FFF2-40B4-BE49-F238E27FC236}">
              <a16:creationId xmlns:a16="http://schemas.microsoft.com/office/drawing/2014/main" id="{B612208F-748B-4333-85D1-2ACFC8126883}"/>
            </a:ext>
          </a:extLst>
        </xdr:cNvPr>
        <xdr:cNvCxnSpPr>
          <a:stCxn id="154" idx="2"/>
          <a:endCxn id="153" idx="0"/>
        </xdr:cNvCxnSpPr>
      </xdr:nvCxnSpPr>
      <xdr:spPr>
        <a:xfrm>
          <a:off x="9732820" y="46278800"/>
          <a:ext cx="4905" cy="9159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219075</xdr:colOff>
      <xdr:row>199</xdr:row>
      <xdr:rowOff>123826</xdr:rowOff>
    </xdr:from>
    <xdr:to>
      <xdr:col>11</xdr:col>
      <xdr:colOff>390625</xdr:colOff>
      <xdr:row>207</xdr:row>
      <xdr:rowOff>180976</xdr:rowOff>
    </xdr:to>
    <xdr:sp macro="" textlink="">
      <xdr:nvSpPr>
        <xdr:cNvPr id="156" name="テキスト ボックス 155">
          <a:extLst>
            <a:ext uri="{FF2B5EF4-FFF2-40B4-BE49-F238E27FC236}">
              <a16:creationId xmlns:a16="http://schemas.microsoft.com/office/drawing/2014/main" id="{E89BB8BD-C9C4-428A-99AB-02DED264E345}"/>
            </a:ext>
          </a:extLst>
        </xdr:cNvPr>
        <xdr:cNvSpPr txBox="1"/>
      </xdr:nvSpPr>
      <xdr:spPr>
        <a:xfrm>
          <a:off x="3492500" y="50107851"/>
          <a:ext cx="4895950" cy="18859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■仕様書等にある、年間消費電力量等を入力してください。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省エネ診断の診断結果報告書を参照する（受診済みの場合）</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施工事業者へ測定等を依頼する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114300</xdr:colOff>
      <xdr:row>212</xdr:row>
      <xdr:rowOff>198368</xdr:rowOff>
    </xdr:from>
    <xdr:to>
      <xdr:col>4</xdr:col>
      <xdr:colOff>129209</xdr:colOff>
      <xdr:row>214</xdr:row>
      <xdr:rowOff>58806</xdr:rowOff>
    </xdr:to>
    <xdr:sp macro="" textlink="">
      <xdr:nvSpPr>
        <xdr:cNvPr id="157" name="楕円 156">
          <a:extLst>
            <a:ext uri="{FF2B5EF4-FFF2-40B4-BE49-F238E27FC236}">
              <a16:creationId xmlns:a16="http://schemas.microsoft.com/office/drawing/2014/main" id="{B7C6BD8D-E952-4F76-AB93-DF9A5F39833F}"/>
            </a:ext>
          </a:extLst>
        </xdr:cNvPr>
        <xdr:cNvSpPr/>
      </xdr:nvSpPr>
      <xdr:spPr>
        <a:xfrm>
          <a:off x="2581275" y="53760618"/>
          <a:ext cx="821359"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142875</xdr:colOff>
      <xdr:row>212</xdr:row>
      <xdr:rowOff>198368</xdr:rowOff>
    </xdr:from>
    <xdr:to>
      <xdr:col>6</xdr:col>
      <xdr:colOff>157784</xdr:colOff>
      <xdr:row>214</xdr:row>
      <xdr:rowOff>58806</xdr:rowOff>
    </xdr:to>
    <xdr:sp macro="" textlink="">
      <xdr:nvSpPr>
        <xdr:cNvPr id="158" name="楕円 157">
          <a:extLst>
            <a:ext uri="{FF2B5EF4-FFF2-40B4-BE49-F238E27FC236}">
              <a16:creationId xmlns:a16="http://schemas.microsoft.com/office/drawing/2014/main" id="{D960A562-3DA7-4397-B796-E33F600000CE}"/>
            </a:ext>
          </a:extLst>
        </xdr:cNvPr>
        <xdr:cNvSpPr/>
      </xdr:nvSpPr>
      <xdr:spPr>
        <a:xfrm>
          <a:off x="4073525" y="53760618"/>
          <a:ext cx="678484"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101600</xdr:colOff>
      <xdr:row>212</xdr:row>
      <xdr:rowOff>201543</xdr:rowOff>
    </xdr:from>
    <xdr:to>
      <xdr:col>10</xdr:col>
      <xdr:colOff>133350</xdr:colOff>
      <xdr:row>214</xdr:row>
      <xdr:rowOff>58806</xdr:rowOff>
    </xdr:to>
    <xdr:sp macro="" textlink="">
      <xdr:nvSpPr>
        <xdr:cNvPr id="160" name="楕円 159">
          <a:extLst>
            <a:ext uri="{FF2B5EF4-FFF2-40B4-BE49-F238E27FC236}">
              <a16:creationId xmlns:a16="http://schemas.microsoft.com/office/drawing/2014/main" id="{2E55D260-E745-49A8-9E75-05E151A99988}"/>
            </a:ext>
          </a:extLst>
        </xdr:cNvPr>
        <xdr:cNvSpPr/>
      </xdr:nvSpPr>
      <xdr:spPr>
        <a:xfrm>
          <a:off x="6102350" y="53932068"/>
          <a:ext cx="137477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212</xdr:row>
      <xdr:rowOff>198368</xdr:rowOff>
    </xdr:from>
    <xdr:to>
      <xdr:col>16</xdr:col>
      <xdr:colOff>74400</xdr:colOff>
      <xdr:row>214</xdr:row>
      <xdr:rowOff>58806</xdr:rowOff>
    </xdr:to>
    <xdr:sp macro="" textlink="">
      <xdr:nvSpPr>
        <xdr:cNvPr id="163" name="楕円 162">
          <a:extLst>
            <a:ext uri="{FF2B5EF4-FFF2-40B4-BE49-F238E27FC236}">
              <a16:creationId xmlns:a16="http://schemas.microsoft.com/office/drawing/2014/main" id="{9325765A-820E-492A-853D-452150DB559C}"/>
            </a:ext>
          </a:extLst>
        </xdr:cNvPr>
        <xdr:cNvSpPr/>
      </xdr:nvSpPr>
      <xdr:spPr>
        <a:xfrm>
          <a:off x="10706100" y="53760618"/>
          <a:ext cx="65542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596950</xdr:colOff>
      <xdr:row>207</xdr:row>
      <xdr:rowOff>177801</xdr:rowOff>
    </xdr:from>
    <xdr:to>
      <xdr:col>9</xdr:col>
      <xdr:colOff>131763</xdr:colOff>
      <xdr:row>212</xdr:row>
      <xdr:rowOff>201543</xdr:rowOff>
    </xdr:to>
    <xdr:cxnSp macro="">
      <xdr:nvCxnSpPr>
        <xdr:cNvPr id="165" name="直線矢印コネクタ 164">
          <a:extLst>
            <a:ext uri="{FF2B5EF4-FFF2-40B4-BE49-F238E27FC236}">
              <a16:creationId xmlns:a16="http://schemas.microsoft.com/office/drawing/2014/main" id="{6BB5C5D3-BDE0-40B5-B17E-CFA1810D1C51}"/>
            </a:ext>
          </a:extLst>
        </xdr:cNvPr>
        <xdr:cNvCxnSpPr>
          <a:stCxn id="156" idx="2"/>
          <a:endCxn id="160" idx="0"/>
        </xdr:cNvCxnSpPr>
      </xdr:nvCxnSpPr>
      <xdr:spPr>
        <a:xfrm>
          <a:off x="5940475" y="52165251"/>
          <a:ext cx="849263" cy="176681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257174</xdr:colOff>
      <xdr:row>215</xdr:row>
      <xdr:rowOff>95251</xdr:rowOff>
    </xdr:from>
    <xdr:to>
      <xdr:col>7</xdr:col>
      <xdr:colOff>488949</xdr:colOff>
      <xdr:row>219</xdr:row>
      <xdr:rowOff>76200</xdr:rowOff>
    </xdr:to>
    <xdr:sp macro="" textlink="">
      <xdr:nvSpPr>
        <xdr:cNvPr id="167" name="テキスト ボックス 166">
          <a:extLst>
            <a:ext uri="{FF2B5EF4-FFF2-40B4-BE49-F238E27FC236}">
              <a16:creationId xmlns:a16="http://schemas.microsoft.com/office/drawing/2014/main" id="{ED94433E-33FF-48EB-91B4-6AF798D0E6BD}"/>
            </a:ext>
          </a:extLst>
        </xdr:cNvPr>
        <xdr:cNvSpPr txBox="1"/>
      </xdr:nvSpPr>
      <xdr:spPr>
        <a:xfrm>
          <a:off x="1749424" y="51847751"/>
          <a:ext cx="4073525" cy="86994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■老朽化消費倍率は導入年度から自動計算されます。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省エネ診断や施工事業者の測定等により劣化率等を把握していて、そちらの値を用いたい場合は直接入力して修正してください</a:t>
          </a:r>
        </a:p>
      </xdr:txBody>
    </xdr:sp>
    <xdr:clientData/>
  </xdr:twoCellAnchor>
  <xdr:twoCellAnchor>
    <xdr:from>
      <xdr:col>4</xdr:col>
      <xdr:colOff>5749</xdr:colOff>
      <xdr:row>214</xdr:row>
      <xdr:rowOff>14614</xdr:rowOff>
    </xdr:from>
    <xdr:to>
      <xdr:col>4</xdr:col>
      <xdr:colOff>515937</xdr:colOff>
      <xdr:row>215</xdr:row>
      <xdr:rowOff>95251</xdr:rowOff>
    </xdr:to>
    <xdr:cxnSp macro="">
      <xdr:nvCxnSpPr>
        <xdr:cNvPr id="168" name="直線矢印コネクタ 167">
          <a:extLst>
            <a:ext uri="{FF2B5EF4-FFF2-40B4-BE49-F238E27FC236}">
              <a16:creationId xmlns:a16="http://schemas.microsoft.com/office/drawing/2014/main" id="{99B21C96-901F-4457-A853-1EFC8B6A5863}"/>
            </a:ext>
          </a:extLst>
        </xdr:cNvPr>
        <xdr:cNvCxnSpPr>
          <a:stCxn id="167" idx="0"/>
          <a:endCxn id="157" idx="5"/>
        </xdr:cNvCxnSpPr>
      </xdr:nvCxnSpPr>
      <xdr:spPr>
        <a:xfrm flipH="1" flipV="1">
          <a:off x="3275999" y="51544864"/>
          <a:ext cx="510188" cy="3028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515937</xdr:colOff>
      <xdr:row>214</xdr:row>
      <xdr:rowOff>14614</xdr:rowOff>
    </xdr:from>
    <xdr:to>
      <xdr:col>5</xdr:col>
      <xdr:colOff>240457</xdr:colOff>
      <xdr:row>215</xdr:row>
      <xdr:rowOff>95251</xdr:rowOff>
    </xdr:to>
    <xdr:cxnSp macro="">
      <xdr:nvCxnSpPr>
        <xdr:cNvPr id="169" name="直線矢印コネクタ 168">
          <a:extLst>
            <a:ext uri="{FF2B5EF4-FFF2-40B4-BE49-F238E27FC236}">
              <a16:creationId xmlns:a16="http://schemas.microsoft.com/office/drawing/2014/main" id="{AEDF73B9-C6F2-481E-A07E-7AF5D48B5CA9}"/>
            </a:ext>
          </a:extLst>
        </xdr:cNvPr>
        <xdr:cNvCxnSpPr>
          <a:stCxn id="167" idx="0"/>
          <a:endCxn id="158" idx="3"/>
        </xdr:cNvCxnSpPr>
      </xdr:nvCxnSpPr>
      <xdr:spPr>
        <a:xfrm flipV="1">
          <a:off x="3786187" y="51544864"/>
          <a:ext cx="375395" cy="3028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314326</xdr:colOff>
      <xdr:row>217</xdr:row>
      <xdr:rowOff>95250</xdr:rowOff>
    </xdr:from>
    <xdr:to>
      <xdr:col>20</xdr:col>
      <xdr:colOff>238126</xdr:colOff>
      <xdr:row>218</xdr:row>
      <xdr:rowOff>217125</xdr:rowOff>
    </xdr:to>
    <xdr:sp macro="" textlink="">
      <xdr:nvSpPr>
        <xdr:cNvPr id="173" name="テキスト ボックス 172">
          <a:extLst>
            <a:ext uri="{FF2B5EF4-FFF2-40B4-BE49-F238E27FC236}">
              <a16:creationId xmlns:a16="http://schemas.microsoft.com/office/drawing/2014/main" id="{26C702E6-C79D-4B47-A7B7-3FE51F1B0662}"/>
            </a:ext>
          </a:extLst>
        </xdr:cNvPr>
        <xdr:cNvSpPr txBox="1"/>
      </xdr:nvSpPr>
      <xdr:spPr>
        <a:xfrm>
          <a:off x="10941051" y="54797325"/>
          <a:ext cx="3657600" cy="3536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■更新後の年間消費電力量等を入力してください。</a:t>
          </a:r>
        </a:p>
      </xdr:txBody>
    </xdr:sp>
    <xdr:clientData/>
  </xdr:twoCellAnchor>
  <xdr:twoCellAnchor>
    <xdr:from>
      <xdr:col>15</xdr:col>
      <xdr:colOff>418200</xdr:colOff>
      <xdr:row>214</xdr:row>
      <xdr:rowOff>58806</xdr:rowOff>
    </xdr:from>
    <xdr:to>
      <xdr:col>16</xdr:col>
      <xdr:colOff>190500</xdr:colOff>
      <xdr:row>217</xdr:row>
      <xdr:rowOff>104775</xdr:rowOff>
    </xdr:to>
    <xdr:cxnSp macro="">
      <xdr:nvCxnSpPr>
        <xdr:cNvPr id="174" name="直線矢印コネクタ 173">
          <a:extLst>
            <a:ext uri="{FF2B5EF4-FFF2-40B4-BE49-F238E27FC236}">
              <a16:creationId xmlns:a16="http://schemas.microsoft.com/office/drawing/2014/main" id="{974B7035-BEB6-4692-B71B-794DA4581106}"/>
            </a:ext>
          </a:extLst>
        </xdr:cNvPr>
        <xdr:cNvCxnSpPr>
          <a:cxnSpLocks/>
          <a:endCxn id="163" idx="4"/>
        </xdr:cNvCxnSpPr>
      </xdr:nvCxnSpPr>
      <xdr:spPr>
        <a:xfrm flipH="1" flipV="1">
          <a:off x="11048100" y="54075081"/>
          <a:ext cx="429525" cy="72859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450532</xdr:colOff>
      <xdr:row>234</xdr:row>
      <xdr:rowOff>59348</xdr:rowOff>
    </xdr:from>
    <xdr:to>
      <xdr:col>10</xdr:col>
      <xdr:colOff>282575</xdr:colOff>
      <xdr:row>235</xdr:row>
      <xdr:rowOff>170042</xdr:rowOff>
    </xdr:to>
    <xdr:sp macro="" textlink="">
      <xdr:nvSpPr>
        <xdr:cNvPr id="183" name="テキスト ボックス 182">
          <a:extLst>
            <a:ext uri="{FF2B5EF4-FFF2-40B4-BE49-F238E27FC236}">
              <a16:creationId xmlns:a16="http://schemas.microsoft.com/office/drawing/2014/main" id="{DC75758E-B74B-42B3-B370-294B2E5B0783}"/>
            </a:ext>
          </a:extLst>
        </xdr:cNvPr>
        <xdr:cNvSpPr txBox="1"/>
      </xdr:nvSpPr>
      <xdr:spPr>
        <a:xfrm>
          <a:off x="4384357" y="59571548"/>
          <a:ext cx="3241993" cy="33929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■想定している自家消費率を入力してください。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358943</xdr:colOff>
      <xdr:row>261</xdr:row>
      <xdr:rowOff>132499</xdr:rowOff>
    </xdr:from>
    <xdr:to>
      <xdr:col>10</xdr:col>
      <xdr:colOff>341519</xdr:colOff>
      <xdr:row>263</xdr:row>
      <xdr:rowOff>268909</xdr:rowOff>
    </xdr:to>
    <xdr:sp macro="" textlink="">
      <xdr:nvSpPr>
        <xdr:cNvPr id="193" name="テキスト ボックス 192">
          <a:extLst>
            <a:ext uri="{FF2B5EF4-FFF2-40B4-BE49-F238E27FC236}">
              <a16:creationId xmlns:a16="http://schemas.microsoft.com/office/drawing/2014/main" id="{CE429D05-1783-4CB0-936A-3867FB60AB95}"/>
            </a:ext>
          </a:extLst>
        </xdr:cNvPr>
        <xdr:cNvSpPr txBox="1"/>
      </xdr:nvSpPr>
      <xdr:spPr>
        <a:xfrm>
          <a:off x="4292768" y="65959774"/>
          <a:ext cx="3392526" cy="59361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■水流の有効落差と流量を記入してください。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流量は「断面積」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「流速（</a:t>
          </a:r>
          <a:r>
            <a:rPr kumimoji="1" lang="en-US" altLang="ja-JP" sz="1100">
              <a:latin typeface="ＭＳ Ｐゴシック" panose="020B0600070205080204" pitchFamily="50" charset="-128"/>
              <a:ea typeface="ＭＳ Ｐゴシック" panose="020B0600070205080204" pitchFamily="50" charset="-128"/>
            </a:rPr>
            <a:t>m/</a:t>
          </a:r>
          <a:r>
            <a:rPr kumimoji="1" lang="ja-JP" altLang="en-US" sz="1100">
              <a:latin typeface="ＭＳ Ｐゴシック" panose="020B0600070205080204" pitchFamily="50" charset="-128"/>
              <a:ea typeface="ＭＳ Ｐゴシック" panose="020B0600070205080204" pitchFamily="50" charset="-128"/>
            </a:rPr>
            <a:t>秒）」で求められます。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105465</xdr:colOff>
      <xdr:row>257</xdr:row>
      <xdr:rowOff>159304</xdr:rowOff>
    </xdr:from>
    <xdr:to>
      <xdr:col>8</xdr:col>
      <xdr:colOff>77994</xdr:colOff>
      <xdr:row>259</xdr:row>
      <xdr:rowOff>85726</xdr:rowOff>
    </xdr:to>
    <xdr:sp macro="" textlink="">
      <xdr:nvSpPr>
        <xdr:cNvPr id="194" name="楕円 193">
          <a:extLst>
            <a:ext uri="{FF2B5EF4-FFF2-40B4-BE49-F238E27FC236}">
              <a16:creationId xmlns:a16="http://schemas.microsoft.com/office/drawing/2014/main" id="{5E7407FC-0408-4F90-95FA-1A0AC6BF7168}"/>
            </a:ext>
          </a:extLst>
        </xdr:cNvPr>
        <xdr:cNvSpPr/>
      </xdr:nvSpPr>
      <xdr:spPr>
        <a:xfrm>
          <a:off x="4696515" y="65072179"/>
          <a:ext cx="1382229" cy="383622"/>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42517</xdr:colOff>
      <xdr:row>259</xdr:row>
      <xdr:rowOff>82551</xdr:rowOff>
    </xdr:from>
    <xdr:to>
      <xdr:col>7</xdr:col>
      <xdr:colOff>645506</xdr:colOff>
      <xdr:row>261</xdr:row>
      <xdr:rowOff>132499</xdr:rowOff>
    </xdr:to>
    <xdr:cxnSp macro="">
      <xdr:nvCxnSpPr>
        <xdr:cNvPr id="195" name="直線矢印コネクタ 194">
          <a:extLst>
            <a:ext uri="{FF2B5EF4-FFF2-40B4-BE49-F238E27FC236}">
              <a16:creationId xmlns:a16="http://schemas.microsoft.com/office/drawing/2014/main" id="{11ABFAA0-CAF8-4EE1-BE54-94B2EAD7CDAD}"/>
            </a:ext>
          </a:extLst>
        </xdr:cNvPr>
        <xdr:cNvCxnSpPr>
          <a:cxnSpLocks/>
          <a:stCxn id="193" idx="0"/>
          <a:endCxn id="194" idx="4"/>
        </xdr:cNvCxnSpPr>
      </xdr:nvCxnSpPr>
      <xdr:spPr>
        <a:xfrm flipH="1" flipV="1">
          <a:off x="5386042" y="65452626"/>
          <a:ext cx="602989" cy="50714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588063</xdr:colOff>
      <xdr:row>13</xdr:row>
      <xdr:rowOff>173934</xdr:rowOff>
    </xdr:from>
    <xdr:to>
      <xdr:col>15</xdr:col>
      <xdr:colOff>132521</xdr:colOff>
      <xdr:row>15</xdr:row>
      <xdr:rowOff>82824</xdr:rowOff>
    </xdr:to>
    <xdr:sp macro="" textlink="">
      <xdr:nvSpPr>
        <xdr:cNvPr id="198" name="楕円 197">
          <a:extLst>
            <a:ext uri="{FF2B5EF4-FFF2-40B4-BE49-F238E27FC236}">
              <a16:creationId xmlns:a16="http://schemas.microsoft.com/office/drawing/2014/main" id="{37ADFBB4-143D-4524-B9DF-C6A8AD742DDD}"/>
            </a:ext>
          </a:extLst>
        </xdr:cNvPr>
        <xdr:cNvSpPr/>
      </xdr:nvSpPr>
      <xdr:spPr>
        <a:xfrm>
          <a:off x="9246288" y="3317184"/>
          <a:ext cx="1516133" cy="36926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397978</xdr:colOff>
      <xdr:row>7</xdr:row>
      <xdr:rowOff>40998</xdr:rowOff>
    </xdr:from>
    <xdr:to>
      <xdr:col>21</xdr:col>
      <xdr:colOff>1190624</xdr:colOff>
      <xdr:row>10</xdr:row>
      <xdr:rowOff>295274</xdr:rowOff>
    </xdr:to>
    <xdr:sp macro="" textlink="">
      <xdr:nvSpPr>
        <xdr:cNvPr id="199" name="テキスト ボックス 198">
          <a:extLst>
            <a:ext uri="{FF2B5EF4-FFF2-40B4-BE49-F238E27FC236}">
              <a16:creationId xmlns:a16="http://schemas.microsoft.com/office/drawing/2014/main" id="{684BE105-C9FA-45F0-9712-07E60E86CE36}"/>
            </a:ext>
          </a:extLst>
        </xdr:cNvPr>
        <xdr:cNvSpPr txBox="1"/>
      </xdr:nvSpPr>
      <xdr:spPr>
        <a:xfrm>
          <a:off x="12999553" y="1707873"/>
          <a:ext cx="3396146" cy="94325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■電気自動車に更新する場合、グレーに変わります。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シートの目安表や、一般的に「電費」とも言われる数値も参考に、上部の「電力消費係数」を入力してください。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567713</xdr:colOff>
      <xdr:row>9</xdr:row>
      <xdr:rowOff>55424</xdr:rowOff>
    </xdr:from>
    <xdr:to>
      <xdr:col>18</xdr:col>
      <xdr:colOff>397978</xdr:colOff>
      <xdr:row>13</xdr:row>
      <xdr:rowOff>228012</xdr:rowOff>
    </xdr:to>
    <xdr:cxnSp macro="">
      <xdr:nvCxnSpPr>
        <xdr:cNvPr id="200" name="直線矢印コネクタ 199">
          <a:extLst>
            <a:ext uri="{FF2B5EF4-FFF2-40B4-BE49-F238E27FC236}">
              <a16:creationId xmlns:a16="http://schemas.microsoft.com/office/drawing/2014/main" id="{E18FE121-0C14-440C-BAB7-BF69A2F1A746}"/>
            </a:ext>
          </a:extLst>
        </xdr:cNvPr>
        <xdr:cNvCxnSpPr>
          <a:stCxn id="199" idx="1"/>
          <a:endCxn id="198" idx="7"/>
        </xdr:cNvCxnSpPr>
      </xdr:nvCxnSpPr>
      <xdr:spPr>
        <a:xfrm flipH="1">
          <a:off x="10537213" y="2179499"/>
          <a:ext cx="2462340" cy="11917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14</xdr:col>
      <xdr:colOff>24848</xdr:colOff>
      <xdr:row>5</xdr:row>
      <xdr:rowOff>41414</xdr:rowOff>
    </xdr:from>
    <xdr:to>
      <xdr:col>14</xdr:col>
      <xdr:colOff>670892</xdr:colOff>
      <xdr:row>6</xdr:row>
      <xdr:rowOff>223632</xdr:rowOff>
    </xdr:to>
    <xdr:sp macro="" textlink="">
      <xdr:nvSpPr>
        <xdr:cNvPr id="201" name="楕円 200">
          <a:extLst>
            <a:ext uri="{FF2B5EF4-FFF2-40B4-BE49-F238E27FC236}">
              <a16:creationId xmlns:a16="http://schemas.microsoft.com/office/drawing/2014/main" id="{12FEEEE0-963A-46CA-B0A9-0CC4585E6E29}"/>
            </a:ext>
          </a:extLst>
        </xdr:cNvPr>
        <xdr:cNvSpPr/>
      </xdr:nvSpPr>
      <xdr:spPr>
        <a:xfrm>
          <a:off x="10000698" y="1254264"/>
          <a:ext cx="626994" cy="40446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323021</xdr:colOff>
      <xdr:row>1</xdr:row>
      <xdr:rowOff>49696</xdr:rowOff>
    </xdr:from>
    <xdr:to>
      <xdr:col>21</xdr:col>
      <xdr:colOff>1200150</xdr:colOff>
      <xdr:row>6</xdr:row>
      <xdr:rowOff>38100</xdr:rowOff>
    </xdr:to>
    <xdr:sp macro="" textlink="">
      <xdr:nvSpPr>
        <xdr:cNvPr id="202" name="テキスト ボックス 201">
          <a:extLst>
            <a:ext uri="{FF2B5EF4-FFF2-40B4-BE49-F238E27FC236}">
              <a16:creationId xmlns:a16="http://schemas.microsoft.com/office/drawing/2014/main" id="{091F9B87-7290-412F-AAEE-8C4922C40BFC}"/>
            </a:ext>
          </a:extLst>
        </xdr:cNvPr>
        <xdr:cNvSpPr txBox="1"/>
      </xdr:nvSpPr>
      <xdr:spPr>
        <a:xfrm>
          <a:off x="10952921" y="275121"/>
          <a:ext cx="5449129" cy="12012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■電気自動車へ更新する場合、表を参考に、該当する電力消費係数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0.22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のうちのいずれかを入力してください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具体的な検討車種があり、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電気自動車のカタログの電力量消費率を参照する場合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を乗じた値を入力してください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（例）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WLTC</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モード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130Wh/km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」と入力</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563196</xdr:colOff>
      <xdr:row>3</xdr:row>
      <xdr:rowOff>124861</xdr:rowOff>
    </xdr:from>
    <xdr:to>
      <xdr:col>15</xdr:col>
      <xdr:colOff>323021</xdr:colOff>
      <xdr:row>5</xdr:row>
      <xdr:rowOff>103822</xdr:rowOff>
    </xdr:to>
    <xdr:cxnSp macro="">
      <xdr:nvCxnSpPr>
        <xdr:cNvPr id="203" name="直線矢印コネクタ 202">
          <a:extLst>
            <a:ext uri="{FF2B5EF4-FFF2-40B4-BE49-F238E27FC236}">
              <a16:creationId xmlns:a16="http://schemas.microsoft.com/office/drawing/2014/main" id="{65F45448-6528-4EF0-BBEF-D4BEF6E6DAED}"/>
            </a:ext>
          </a:extLst>
        </xdr:cNvPr>
        <xdr:cNvCxnSpPr>
          <a:stCxn id="202" idx="1"/>
          <a:endCxn id="201" idx="7"/>
        </xdr:cNvCxnSpPr>
      </xdr:nvCxnSpPr>
      <xdr:spPr>
        <a:xfrm flipH="1">
          <a:off x="10532696" y="874161"/>
          <a:ext cx="420225" cy="4425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65985</xdr:colOff>
      <xdr:row>224</xdr:row>
      <xdr:rowOff>159716</xdr:rowOff>
    </xdr:from>
    <xdr:to>
      <xdr:col>10</xdr:col>
      <xdr:colOff>36994</xdr:colOff>
      <xdr:row>226</xdr:row>
      <xdr:rowOff>57150</xdr:rowOff>
    </xdr:to>
    <xdr:sp macro="" textlink="">
      <xdr:nvSpPr>
        <xdr:cNvPr id="206" name="楕円 205">
          <a:extLst>
            <a:ext uri="{FF2B5EF4-FFF2-40B4-BE49-F238E27FC236}">
              <a16:creationId xmlns:a16="http://schemas.microsoft.com/office/drawing/2014/main" id="{ADFC5158-84C1-4AE7-904B-B5885F5775E5}"/>
            </a:ext>
          </a:extLst>
        </xdr:cNvPr>
        <xdr:cNvSpPr/>
      </xdr:nvSpPr>
      <xdr:spPr>
        <a:xfrm>
          <a:off x="6723960" y="57157316"/>
          <a:ext cx="656809" cy="354634"/>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531329</xdr:colOff>
      <xdr:row>222</xdr:row>
      <xdr:rowOff>86001</xdr:rowOff>
    </xdr:from>
    <xdr:to>
      <xdr:col>10</xdr:col>
      <xdr:colOff>246407</xdr:colOff>
      <xdr:row>224</xdr:row>
      <xdr:rowOff>79025</xdr:rowOff>
    </xdr:to>
    <xdr:sp macro="" textlink="">
      <xdr:nvSpPr>
        <xdr:cNvPr id="207" name="テキスト ボックス 206">
          <a:extLst>
            <a:ext uri="{FF2B5EF4-FFF2-40B4-BE49-F238E27FC236}">
              <a16:creationId xmlns:a16="http://schemas.microsoft.com/office/drawing/2014/main" id="{CE066B82-5B3F-4377-ADAE-6E558558A537}"/>
            </a:ext>
          </a:extLst>
        </xdr:cNvPr>
        <xdr:cNvSpPr txBox="1"/>
      </xdr:nvSpPr>
      <xdr:spPr>
        <a:xfrm>
          <a:off x="3807929" y="56559726"/>
          <a:ext cx="3782253" cy="51689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■システム効率は初期値を</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自身で把握できる場合は上書き入力してください。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558855</xdr:colOff>
      <xdr:row>229</xdr:row>
      <xdr:rowOff>47625</xdr:rowOff>
    </xdr:from>
    <xdr:to>
      <xdr:col>14</xdr:col>
      <xdr:colOff>120650</xdr:colOff>
      <xdr:row>229</xdr:row>
      <xdr:rowOff>419926</xdr:rowOff>
    </xdr:to>
    <xdr:sp macro="" textlink="">
      <xdr:nvSpPr>
        <xdr:cNvPr id="208" name="楕円 207">
          <a:extLst>
            <a:ext uri="{FF2B5EF4-FFF2-40B4-BE49-F238E27FC236}">
              <a16:creationId xmlns:a16="http://schemas.microsoft.com/office/drawing/2014/main" id="{7B94F351-35F8-45AE-9340-C8259EF06352}"/>
            </a:ext>
          </a:extLst>
        </xdr:cNvPr>
        <xdr:cNvSpPr/>
      </xdr:nvSpPr>
      <xdr:spPr>
        <a:xfrm>
          <a:off x="9217080" y="58188225"/>
          <a:ext cx="876245" cy="3723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355531</xdr:colOff>
      <xdr:row>224</xdr:row>
      <xdr:rowOff>79025</xdr:rowOff>
    </xdr:from>
    <xdr:to>
      <xdr:col>9</xdr:col>
      <xdr:colOff>164882</xdr:colOff>
      <xdr:row>224</xdr:row>
      <xdr:rowOff>214361</xdr:rowOff>
    </xdr:to>
    <xdr:cxnSp macro="">
      <xdr:nvCxnSpPr>
        <xdr:cNvPr id="211" name="直線矢印コネクタ 210">
          <a:extLst>
            <a:ext uri="{FF2B5EF4-FFF2-40B4-BE49-F238E27FC236}">
              <a16:creationId xmlns:a16="http://schemas.microsoft.com/office/drawing/2014/main" id="{34969EA3-A30B-448E-BB88-922AA0FCDC53}"/>
            </a:ext>
          </a:extLst>
        </xdr:cNvPr>
        <xdr:cNvCxnSpPr>
          <a:stCxn id="207" idx="2"/>
          <a:endCxn id="206" idx="1"/>
        </xdr:cNvCxnSpPr>
      </xdr:nvCxnSpPr>
      <xdr:spPr>
        <a:xfrm>
          <a:off x="5699056" y="57076625"/>
          <a:ext cx="1123801" cy="13533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3016</xdr:colOff>
      <xdr:row>229</xdr:row>
      <xdr:rowOff>233776</xdr:rowOff>
    </xdr:from>
    <xdr:to>
      <xdr:col>12</xdr:col>
      <xdr:colOff>558855</xdr:colOff>
      <xdr:row>234</xdr:row>
      <xdr:rowOff>59348</xdr:rowOff>
    </xdr:to>
    <xdr:cxnSp macro="">
      <xdr:nvCxnSpPr>
        <xdr:cNvPr id="212" name="直線矢印コネクタ 211">
          <a:extLst>
            <a:ext uri="{FF2B5EF4-FFF2-40B4-BE49-F238E27FC236}">
              <a16:creationId xmlns:a16="http://schemas.microsoft.com/office/drawing/2014/main" id="{96A38B5B-8A03-4D49-8B80-B5500E617C5D}"/>
            </a:ext>
          </a:extLst>
        </xdr:cNvPr>
        <xdr:cNvCxnSpPr>
          <a:stCxn id="183" idx="0"/>
          <a:endCxn id="208" idx="2"/>
        </xdr:cNvCxnSpPr>
      </xdr:nvCxnSpPr>
      <xdr:spPr>
        <a:xfrm flipV="1">
          <a:off x="6003766" y="58374376"/>
          <a:ext cx="3213314" cy="11971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142047</xdr:colOff>
      <xdr:row>282</xdr:row>
      <xdr:rowOff>178767</xdr:rowOff>
    </xdr:from>
    <xdr:to>
      <xdr:col>6</xdr:col>
      <xdr:colOff>67503</xdr:colOff>
      <xdr:row>284</xdr:row>
      <xdr:rowOff>55201</xdr:rowOff>
    </xdr:to>
    <xdr:sp macro="" textlink="">
      <xdr:nvSpPr>
        <xdr:cNvPr id="233" name="楕円 232">
          <a:extLst>
            <a:ext uri="{FF2B5EF4-FFF2-40B4-BE49-F238E27FC236}">
              <a16:creationId xmlns:a16="http://schemas.microsoft.com/office/drawing/2014/main" id="{38BAB3A9-02FA-4A70-AEC8-AE5D1B586BBD}"/>
            </a:ext>
          </a:extLst>
        </xdr:cNvPr>
        <xdr:cNvSpPr/>
      </xdr:nvSpPr>
      <xdr:spPr>
        <a:xfrm>
          <a:off x="4075872" y="71854392"/>
          <a:ext cx="582681" cy="33363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637899</xdr:colOff>
      <xdr:row>275</xdr:row>
      <xdr:rowOff>219075</xdr:rowOff>
    </xdr:from>
    <xdr:to>
      <xdr:col>7</xdr:col>
      <xdr:colOff>523875</xdr:colOff>
      <xdr:row>279</xdr:row>
      <xdr:rowOff>28427</xdr:rowOff>
    </xdr:to>
    <xdr:sp macro="" textlink="">
      <xdr:nvSpPr>
        <xdr:cNvPr id="234" name="テキスト ボックス 233">
          <a:extLst>
            <a:ext uri="{FF2B5EF4-FFF2-40B4-BE49-F238E27FC236}">
              <a16:creationId xmlns:a16="http://schemas.microsoft.com/office/drawing/2014/main" id="{A14B6E03-21C7-4E99-B2B1-B9689EFA4BAE}"/>
            </a:ext>
          </a:extLst>
        </xdr:cNvPr>
        <xdr:cNvSpPr txBox="1"/>
      </xdr:nvSpPr>
      <xdr:spPr>
        <a:xfrm>
          <a:off x="1295124" y="69942075"/>
          <a:ext cx="4572276" cy="723752"/>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■充電に係る電力量のうち、太陽光などの再生可能エネルギーによる自家発電で賄う割合を入力してください。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この割合をもとに、購入電力と二酸化炭素排出の削減量が算出されます。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304662</xdr:colOff>
      <xdr:row>279</xdr:row>
      <xdr:rowOff>28427</xdr:rowOff>
    </xdr:from>
    <xdr:to>
      <xdr:col>5</xdr:col>
      <xdr:colOff>229624</xdr:colOff>
      <xdr:row>283</xdr:row>
      <xdr:rowOff>1737</xdr:rowOff>
    </xdr:to>
    <xdr:cxnSp macro="">
      <xdr:nvCxnSpPr>
        <xdr:cNvPr id="235" name="直線矢印コネクタ 234">
          <a:extLst>
            <a:ext uri="{FF2B5EF4-FFF2-40B4-BE49-F238E27FC236}">
              <a16:creationId xmlns:a16="http://schemas.microsoft.com/office/drawing/2014/main" id="{604A4234-E18F-4050-B14A-83C0DEA445AD}"/>
            </a:ext>
          </a:extLst>
        </xdr:cNvPr>
        <xdr:cNvCxnSpPr>
          <a:cxnSpLocks/>
          <a:stCxn id="234" idx="2"/>
          <a:endCxn id="233" idx="1"/>
        </xdr:cNvCxnSpPr>
      </xdr:nvCxnSpPr>
      <xdr:spPr>
        <a:xfrm>
          <a:off x="3581262" y="70665827"/>
          <a:ext cx="582187" cy="124013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179042</xdr:colOff>
      <xdr:row>282</xdr:row>
      <xdr:rowOff>171450</xdr:rowOff>
    </xdr:from>
    <xdr:to>
      <xdr:col>8</xdr:col>
      <xdr:colOff>86001</xdr:colOff>
      <xdr:row>284</xdr:row>
      <xdr:rowOff>74251</xdr:rowOff>
    </xdr:to>
    <xdr:sp macro="" textlink="">
      <xdr:nvSpPr>
        <xdr:cNvPr id="236" name="楕円 235">
          <a:extLst>
            <a:ext uri="{FF2B5EF4-FFF2-40B4-BE49-F238E27FC236}">
              <a16:creationId xmlns:a16="http://schemas.microsoft.com/office/drawing/2014/main" id="{A70806B9-5FEB-4159-880A-29EA87E4A222}"/>
            </a:ext>
          </a:extLst>
        </xdr:cNvPr>
        <xdr:cNvSpPr/>
      </xdr:nvSpPr>
      <xdr:spPr>
        <a:xfrm>
          <a:off x="4770092" y="71847075"/>
          <a:ext cx="1316659" cy="3600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178491</xdr:colOff>
      <xdr:row>281</xdr:row>
      <xdr:rowOff>142461</xdr:rowOff>
    </xdr:from>
    <xdr:to>
      <xdr:col>14</xdr:col>
      <xdr:colOff>485775</xdr:colOff>
      <xdr:row>283</xdr:row>
      <xdr:rowOff>228599</xdr:rowOff>
    </xdr:to>
    <xdr:sp macro="" textlink="">
      <xdr:nvSpPr>
        <xdr:cNvPr id="237" name="テキスト ボックス 236">
          <a:extLst>
            <a:ext uri="{FF2B5EF4-FFF2-40B4-BE49-F238E27FC236}">
              <a16:creationId xmlns:a16="http://schemas.microsoft.com/office/drawing/2014/main" id="{1035269C-F619-4256-9788-A72573913D26}"/>
            </a:ext>
          </a:extLst>
        </xdr:cNvPr>
        <xdr:cNvSpPr txBox="1"/>
      </xdr:nvSpPr>
      <xdr:spPr>
        <a:xfrm>
          <a:off x="7522266" y="71237061"/>
          <a:ext cx="2936184" cy="89576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■１日あたりの放電量と、想定している年間の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放電日数を入力してください。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82826</xdr:colOff>
      <xdr:row>282</xdr:row>
      <xdr:rowOff>9318</xdr:rowOff>
    </xdr:from>
    <xdr:to>
      <xdr:col>10</xdr:col>
      <xdr:colOff>178491</xdr:colOff>
      <xdr:row>283</xdr:row>
      <xdr:rowOff>122851</xdr:rowOff>
    </xdr:to>
    <xdr:cxnSp macro="">
      <xdr:nvCxnSpPr>
        <xdr:cNvPr id="238" name="直線矢印コネクタ 237">
          <a:extLst>
            <a:ext uri="{FF2B5EF4-FFF2-40B4-BE49-F238E27FC236}">
              <a16:creationId xmlns:a16="http://schemas.microsoft.com/office/drawing/2014/main" id="{DBD01FAF-F403-4C4A-94BB-6E2C84E7E659}"/>
            </a:ext>
          </a:extLst>
        </xdr:cNvPr>
        <xdr:cNvCxnSpPr>
          <a:cxnSpLocks/>
          <a:stCxn id="237" idx="1"/>
          <a:endCxn id="236" idx="6"/>
        </xdr:cNvCxnSpPr>
      </xdr:nvCxnSpPr>
      <xdr:spPr>
        <a:xfrm flipH="1">
          <a:off x="6083576" y="71684943"/>
          <a:ext cx="1438690" cy="34213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913297</xdr:colOff>
      <xdr:row>298</xdr:row>
      <xdr:rowOff>193674</xdr:rowOff>
    </xdr:from>
    <xdr:to>
      <xdr:col>3</xdr:col>
      <xdr:colOff>800101</xdr:colOff>
      <xdr:row>300</xdr:row>
      <xdr:rowOff>49833</xdr:rowOff>
    </xdr:to>
    <xdr:sp macro="" textlink="">
      <xdr:nvSpPr>
        <xdr:cNvPr id="239" name="楕円 238">
          <a:extLst>
            <a:ext uri="{FF2B5EF4-FFF2-40B4-BE49-F238E27FC236}">
              <a16:creationId xmlns:a16="http://schemas.microsoft.com/office/drawing/2014/main" id="{9946D154-92E1-486B-BF97-921ACE05C5FF}"/>
            </a:ext>
          </a:extLst>
        </xdr:cNvPr>
        <xdr:cNvSpPr/>
      </xdr:nvSpPr>
      <xdr:spPr>
        <a:xfrm>
          <a:off x="2408722" y="75393549"/>
          <a:ext cx="858354" cy="313359"/>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142737</xdr:colOff>
      <xdr:row>300</xdr:row>
      <xdr:rowOff>197557</xdr:rowOff>
    </xdr:from>
    <xdr:to>
      <xdr:col>2</xdr:col>
      <xdr:colOff>925720</xdr:colOff>
      <xdr:row>303</xdr:row>
      <xdr:rowOff>16970</xdr:rowOff>
    </xdr:to>
    <xdr:sp macro="" textlink="">
      <xdr:nvSpPr>
        <xdr:cNvPr id="240" name="テキスト ボックス 239">
          <a:extLst>
            <a:ext uri="{FF2B5EF4-FFF2-40B4-BE49-F238E27FC236}">
              <a16:creationId xmlns:a16="http://schemas.microsoft.com/office/drawing/2014/main" id="{59C7DA0A-C606-4E4C-B9F6-A0A9F7898269}"/>
            </a:ext>
          </a:extLst>
        </xdr:cNvPr>
        <xdr:cNvSpPr txBox="1"/>
      </xdr:nvSpPr>
      <xdr:spPr>
        <a:xfrm>
          <a:off x="142737" y="75854632"/>
          <a:ext cx="2278408" cy="50521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■燃料種を選プルダウンより選定してください。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922545</xdr:colOff>
      <xdr:row>300</xdr:row>
      <xdr:rowOff>49833</xdr:rowOff>
    </xdr:from>
    <xdr:to>
      <xdr:col>3</xdr:col>
      <xdr:colOff>370924</xdr:colOff>
      <xdr:row>301</xdr:row>
      <xdr:rowOff>223151</xdr:rowOff>
    </xdr:to>
    <xdr:cxnSp macro="">
      <xdr:nvCxnSpPr>
        <xdr:cNvPr id="241" name="直線矢印コネクタ 240">
          <a:extLst>
            <a:ext uri="{FF2B5EF4-FFF2-40B4-BE49-F238E27FC236}">
              <a16:creationId xmlns:a16="http://schemas.microsoft.com/office/drawing/2014/main" id="{5E830716-72D4-4F56-9018-6822598A1D92}"/>
            </a:ext>
          </a:extLst>
        </xdr:cNvPr>
        <xdr:cNvCxnSpPr>
          <a:cxnSpLocks/>
          <a:stCxn id="240" idx="3"/>
          <a:endCxn id="239" idx="4"/>
        </xdr:cNvCxnSpPr>
      </xdr:nvCxnSpPr>
      <xdr:spPr>
        <a:xfrm flipV="1">
          <a:off x="2417970" y="75706908"/>
          <a:ext cx="419929" cy="40191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137</xdr:colOff>
      <xdr:row>298</xdr:row>
      <xdr:rowOff>188430</xdr:rowOff>
    </xdr:from>
    <xdr:to>
      <xdr:col>6</xdr:col>
      <xdr:colOff>28575</xdr:colOff>
      <xdr:row>300</xdr:row>
      <xdr:rowOff>68038</xdr:rowOff>
    </xdr:to>
    <xdr:sp macro="" textlink="">
      <xdr:nvSpPr>
        <xdr:cNvPr id="242" name="楕円 241">
          <a:extLst>
            <a:ext uri="{FF2B5EF4-FFF2-40B4-BE49-F238E27FC236}">
              <a16:creationId xmlns:a16="http://schemas.microsoft.com/office/drawing/2014/main" id="{2C125A71-54D2-4A03-BE19-2C1B44997672}"/>
            </a:ext>
          </a:extLst>
        </xdr:cNvPr>
        <xdr:cNvSpPr/>
      </xdr:nvSpPr>
      <xdr:spPr>
        <a:xfrm>
          <a:off x="3276737" y="75388305"/>
          <a:ext cx="1352413" cy="33680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55491</xdr:colOff>
      <xdr:row>301</xdr:row>
      <xdr:rowOff>131141</xdr:rowOff>
    </xdr:from>
    <xdr:to>
      <xdr:col>14</xdr:col>
      <xdr:colOff>177800</xdr:colOff>
      <xdr:row>309</xdr:row>
      <xdr:rowOff>215901</xdr:rowOff>
    </xdr:to>
    <xdr:sp macro="" textlink="">
      <xdr:nvSpPr>
        <xdr:cNvPr id="243" name="テキスト ボックス 242">
          <a:extLst>
            <a:ext uri="{FF2B5EF4-FFF2-40B4-BE49-F238E27FC236}">
              <a16:creationId xmlns:a16="http://schemas.microsoft.com/office/drawing/2014/main" id="{D3427D7C-F554-48B5-BE7E-3675A9EDA354}"/>
            </a:ext>
          </a:extLst>
        </xdr:cNvPr>
        <xdr:cNvSpPr txBox="1"/>
      </xdr:nvSpPr>
      <xdr:spPr>
        <a:xfrm>
          <a:off x="5408541" y="76016816"/>
          <a:ext cx="4903859" cy="191356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■仕様書等から定格出力、定格時燃料消費量を入力してください。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5</xdr:col>
      <xdr:colOff>494559</xdr:colOff>
      <xdr:row>300</xdr:row>
      <xdr:rowOff>16004</xdr:rowOff>
    </xdr:from>
    <xdr:to>
      <xdr:col>8</xdr:col>
      <xdr:colOff>438150</xdr:colOff>
      <xdr:row>301</xdr:row>
      <xdr:rowOff>123825</xdr:rowOff>
    </xdr:to>
    <xdr:cxnSp macro="">
      <xdr:nvCxnSpPr>
        <xdr:cNvPr id="244" name="直線矢印コネクタ 243">
          <a:extLst>
            <a:ext uri="{FF2B5EF4-FFF2-40B4-BE49-F238E27FC236}">
              <a16:creationId xmlns:a16="http://schemas.microsoft.com/office/drawing/2014/main" id="{20FD4EE4-2E58-4CA6-B991-2A3363CF68DF}"/>
            </a:ext>
          </a:extLst>
        </xdr:cNvPr>
        <xdr:cNvCxnSpPr>
          <a:cxnSpLocks/>
          <a:endCxn id="242" idx="5"/>
        </xdr:cNvCxnSpPr>
      </xdr:nvCxnSpPr>
      <xdr:spPr>
        <a:xfrm flipH="1" flipV="1">
          <a:off x="4428384" y="75673079"/>
          <a:ext cx="2029566" cy="33642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246822</xdr:colOff>
      <xdr:row>298</xdr:row>
      <xdr:rowOff>169380</xdr:rowOff>
    </xdr:from>
    <xdr:to>
      <xdr:col>8</xdr:col>
      <xdr:colOff>220041</xdr:colOff>
      <xdr:row>300</xdr:row>
      <xdr:rowOff>45813</xdr:rowOff>
    </xdr:to>
    <xdr:sp macro="" textlink="">
      <xdr:nvSpPr>
        <xdr:cNvPr id="245" name="楕円 244">
          <a:extLst>
            <a:ext uri="{FF2B5EF4-FFF2-40B4-BE49-F238E27FC236}">
              <a16:creationId xmlns:a16="http://schemas.microsoft.com/office/drawing/2014/main" id="{C6A6C1F8-497B-4126-A396-CADFFA173F60}"/>
            </a:ext>
          </a:extLst>
        </xdr:cNvPr>
        <xdr:cNvSpPr/>
      </xdr:nvSpPr>
      <xdr:spPr>
        <a:xfrm>
          <a:off x="4847397" y="75369255"/>
          <a:ext cx="1392444" cy="3336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598557</xdr:colOff>
      <xdr:row>290</xdr:row>
      <xdr:rowOff>114023</xdr:rowOff>
    </xdr:from>
    <xdr:to>
      <xdr:col>8</xdr:col>
      <xdr:colOff>82550</xdr:colOff>
      <xdr:row>293</xdr:row>
      <xdr:rowOff>219074</xdr:rowOff>
    </xdr:to>
    <xdr:sp macro="" textlink="">
      <xdr:nvSpPr>
        <xdr:cNvPr id="246" name="テキスト ボックス 245">
          <a:extLst>
            <a:ext uri="{FF2B5EF4-FFF2-40B4-BE49-F238E27FC236}">
              <a16:creationId xmlns:a16="http://schemas.microsoft.com/office/drawing/2014/main" id="{DD9405E4-8E3F-47C5-8A6E-2E12DD9A563F}"/>
            </a:ext>
          </a:extLst>
        </xdr:cNvPr>
        <xdr:cNvSpPr txBox="1"/>
      </xdr:nvSpPr>
      <xdr:spPr>
        <a:xfrm>
          <a:off x="3875157" y="73227923"/>
          <a:ext cx="2227193" cy="8099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日当たりの稼働時間と年間稼働日数を入力してください。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391354</xdr:colOff>
      <xdr:row>293</xdr:row>
      <xdr:rowOff>222249</xdr:rowOff>
    </xdr:from>
    <xdr:to>
      <xdr:col>7</xdr:col>
      <xdr:colOff>188982</xdr:colOff>
      <xdr:row>298</xdr:row>
      <xdr:rowOff>169380</xdr:rowOff>
    </xdr:to>
    <xdr:cxnSp macro="">
      <xdr:nvCxnSpPr>
        <xdr:cNvPr id="247" name="直線矢印コネクタ 246">
          <a:extLst>
            <a:ext uri="{FF2B5EF4-FFF2-40B4-BE49-F238E27FC236}">
              <a16:creationId xmlns:a16="http://schemas.microsoft.com/office/drawing/2014/main" id="{2891CC89-CEF8-4CB4-B7EE-C77B98676F1B}"/>
            </a:ext>
          </a:extLst>
        </xdr:cNvPr>
        <xdr:cNvCxnSpPr>
          <a:cxnSpLocks/>
          <a:stCxn id="246" idx="2"/>
          <a:endCxn id="245" idx="0"/>
        </xdr:cNvCxnSpPr>
      </xdr:nvCxnSpPr>
      <xdr:spPr>
        <a:xfrm>
          <a:off x="4991929" y="74040999"/>
          <a:ext cx="550103" cy="132825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160545</xdr:colOff>
      <xdr:row>298</xdr:row>
      <xdr:rowOff>201130</xdr:rowOff>
    </xdr:from>
    <xdr:to>
      <xdr:col>10</xdr:col>
      <xdr:colOff>86001</xdr:colOff>
      <xdr:row>300</xdr:row>
      <xdr:rowOff>77563</xdr:rowOff>
    </xdr:to>
    <xdr:sp macro="" textlink="">
      <xdr:nvSpPr>
        <xdr:cNvPr id="248" name="楕円 247">
          <a:extLst>
            <a:ext uri="{FF2B5EF4-FFF2-40B4-BE49-F238E27FC236}">
              <a16:creationId xmlns:a16="http://schemas.microsoft.com/office/drawing/2014/main" id="{6B28E8B7-522F-4614-A96A-78A56BBD1DB1}"/>
            </a:ext>
          </a:extLst>
        </xdr:cNvPr>
        <xdr:cNvSpPr/>
      </xdr:nvSpPr>
      <xdr:spPr>
        <a:xfrm>
          <a:off x="6837570" y="75401005"/>
          <a:ext cx="611256" cy="3336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323850</xdr:colOff>
      <xdr:row>290</xdr:row>
      <xdr:rowOff>114301</xdr:rowOff>
    </xdr:from>
    <xdr:to>
      <xdr:col>12</xdr:col>
      <xdr:colOff>539888</xdr:colOff>
      <xdr:row>293</xdr:row>
      <xdr:rowOff>219075</xdr:rowOff>
    </xdr:to>
    <xdr:sp macro="" textlink="">
      <xdr:nvSpPr>
        <xdr:cNvPr id="249" name="テキスト ボックス 248">
          <a:extLst>
            <a:ext uri="{FF2B5EF4-FFF2-40B4-BE49-F238E27FC236}">
              <a16:creationId xmlns:a16="http://schemas.microsoft.com/office/drawing/2014/main" id="{E7B65A05-5947-4172-944B-0346EC02C292}"/>
            </a:ext>
          </a:extLst>
        </xdr:cNvPr>
        <xdr:cNvSpPr txBox="1"/>
      </xdr:nvSpPr>
      <xdr:spPr>
        <a:xfrm>
          <a:off x="6343650" y="73228201"/>
          <a:ext cx="2892563" cy="80962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■把握している平均負荷率を入力してください。実測値が不明な場合は概算値を入力してください。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466173</xdr:colOff>
      <xdr:row>293</xdr:row>
      <xdr:rowOff>219075</xdr:rowOff>
    </xdr:from>
    <xdr:to>
      <xdr:col>10</xdr:col>
      <xdr:colOff>427107</xdr:colOff>
      <xdr:row>298</xdr:row>
      <xdr:rowOff>197955</xdr:rowOff>
    </xdr:to>
    <xdr:cxnSp macro="">
      <xdr:nvCxnSpPr>
        <xdr:cNvPr id="250" name="直線矢印コネクタ 249">
          <a:extLst>
            <a:ext uri="{FF2B5EF4-FFF2-40B4-BE49-F238E27FC236}">
              <a16:creationId xmlns:a16="http://schemas.microsoft.com/office/drawing/2014/main" id="{AC42426D-BD27-4272-BB69-68F7CE762027}"/>
            </a:ext>
          </a:extLst>
        </xdr:cNvPr>
        <xdr:cNvCxnSpPr>
          <a:cxnSpLocks/>
          <a:stCxn id="249" idx="2"/>
          <a:endCxn id="248" idx="0"/>
        </xdr:cNvCxnSpPr>
      </xdr:nvCxnSpPr>
      <xdr:spPr>
        <a:xfrm flipH="1">
          <a:off x="7143198" y="74037825"/>
          <a:ext cx="646734" cy="136000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589169</xdr:colOff>
      <xdr:row>298</xdr:row>
      <xdr:rowOff>142875</xdr:rowOff>
    </xdr:from>
    <xdr:to>
      <xdr:col>16</xdr:col>
      <xdr:colOff>657225</xdr:colOff>
      <xdr:row>300</xdr:row>
      <xdr:rowOff>76200</xdr:rowOff>
    </xdr:to>
    <xdr:sp macro="" textlink="">
      <xdr:nvSpPr>
        <xdr:cNvPr id="257" name="楕円 256">
          <a:extLst>
            <a:ext uri="{FF2B5EF4-FFF2-40B4-BE49-F238E27FC236}">
              <a16:creationId xmlns:a16="http://schemas.microsoft.com/office/drawing/2014/main" id="{AE16139A-C3F5-49CB-A2E8-54BFDCB85DE6}"/>
            </a:ext>
          </a:extLst>
        </xdr:cNvPr>
        <xdr:cNvSpPr/>
      </xdr:nvSpPr>
      <xdr:spPr>
        <a:xfrm>
          <a:off x="11380994" y="75342750"/>
          <a:ext cx="725281"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249169</xdr:colOff>
      <xdr:row>291</xdr:row>
      <xdr:rowOff>211620</xdr:rowOff>
    </xdr:from>
    <xdr:to>
      <xdr:col>19</xdr:col>
      <xdr:colOff>349250</xdr:colOff>
      <xdr:row>294</xdr:row>
      <xdr:rowOff>190500</xdr:rowOff>
    </xdr:to>
    <xdr:sp macro="" textlink="">
      <xdr:nvSpPr>
        <xdr:cNvPr id="258" name="テキスト ボックス 257">
          <a:extLst>
            <a:ext uri="{FF2B5EF4-FFF2-40B4-BE49-F238E27FC236}">
              <a16:creationId xmlns:a16="http://schemas.microsoft.com/office/drawing/2014/main" id="{5994902A-0C35-4EFA-A716-196B66263EAA}"/>
            </a:ext>
          </a:extLst>
        </xdr:cNvPr>
        <xdr:cNvSpPr txBox="1"/>
      </xdr:nvSpPr>
      <xdr:spPr>
        <a:xfrm>
          <a:off x="11698219" y="73554120"/>
          <a:ext cx="2528956"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■更新後の方式を選択し、以降の黄色セルに情報を入力してください。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551010</xdr:colOff>
      <xdr:row>294</xdr:row>
      <xdr:rowOff>190500</xdr:rowOff>
    </xdr:from>
    <xdr:to>
      <xdr:col>18</xdr:col>
      <xdr:colOff>191260</xdr:colOff>
      <xdr:row>298</xdr:row>
      <xdr:rowOff>200066</xdr:rowOff>
    </xdr:to>
    <xdr:cxnSp macro="">
      <xdr:nvCxnSpPr>
        <xdr:cNvPr id="259" name="直線矢印コネクタ 258">
          <a:extLst>
            <a:ext uri="{FF2B5EF4-FFF2-40B4-BE49-F238E27FC236}">
              <a16:creationId xmlns:a16="http://schemas.microsoft.com/office/drawing/2014/main" id="{83E7A0FC-0D43-4514-8B7E-AD9EEB346E9C}"/>
            </a:ext>
          </a:extLst>
        </xdr:cNvPr>
        <xdr:cNvCxnSpPr>
          <a:cxnSpLocks/>
          <a:stCxn id="258" idx="2"/>
          <a:endCxn id="257" idx="7"/>
        </xdr:cNvCxnSpPr>
      </xdr:nvCxnSpPr>
      <xdr:spPr>
        <a:xfrm flipH="1">
          <a:off x="12000060" y="74237850"/>
          <a:ext cx="964225" cy="116209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587551</xdr:colOff>
      <xdr:row>52</xdr:row>
      <xdr:rowOff>149225</xdr:rowOff>
    </xdr:from>
    <xdr:to>
      <xdr:col>14</xdr:col>
      <xdr:colOff>203200</xdr:colOff>
      <xdr:row>56</xdr:row>
      <xdr:rowOff>144463</xdr:rowOff>
    </xdr:to>
    <xdr:cxnSp macro="">
      <xdr:nvCxnSpPr>
        <xdr:cNvPr id="293" name="直線矢印コネクタ 292">
          <a:extLst>
            <a:ext uri="{FF2B5EF4-FFF2-40B4-BE49-F238E27FC236}">
              <a16:creationId xmlns:a16="http://schemas.microsoft.com/office/drawing/2014/main" id="{7901D01D-6140-4E1C-AEE2-D4E5E908B9E4}"/>
            </a:ext>
          </a:extLst>
        </xdr:cNvPr>
        <xdr:cNvCxnSpPr>
          <a:endCxn id="44" idx="0"/>
        </xdr:cNvCxnSpPr>
      </xdr:nvCxnSpPr>
      <xdr:spPr>
        <a:xfrm>
          <a:off x="9903001" y="13836650"/>
          <a:ext cx="269699" cy="15065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9525</xdr:colOff>
      <xdr:row>60</xdr:row>
      <xdr:rowOff>214313</xdr:rowOff>
    </xdr:from>
    <xdr:to>
      <xdr:col>21</xdr:col>
      <xdr:colOff>171450</xdr:colOff>
      <xdr:row>64</xdr:row>
      <xdr:rowOff>209550</xdr:rowOff>
    </xdr:to>
    <xdr:cxnSp macro="">
      <xdr:nvCxnSpPr>
        <xdr:cNvPr id="294" name="直線矢印コネクタ 293">
          <a:extLst>
            <a:ext uri="{FF2B5EF4-FFF2-40B4-BE49-F238E27FC236}">
              <a16:creationId xmlns:a16="http://schemas.microsoft.com/office/drawing/2014/main" id="{E00E47F2-781F-454D-A8AC-4D6BF205A97A}"/>
            </a:ext>
          </a:extLst>
        </xdr:cNvPr>
        <xdr:cNvCxnSpPr>
          <a:endCxn id="48" idx="1"/>
        </xdr:cNvCxnSpPr>
      </xdr:nvCxnSpPr>
      <xdr:spPr>
        <a:xfrm flipV="1">
          <a:off x="13712825" y="16333788"/>
          <a:ext cx="1660525" cy="9159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244475</xdr:colOff>
      <xdr:row>90</xdr:row>
      <xdr:rowOff>133350</xdr:rowOff>
    </xdr:from>
    <xdr:to>
      <xdr:col>28</xdr:col>
      <xdr:colOff>15875</xdr:colOff>
      <xdr:row>92</xdr:row>
      <xdr:rowOff>95250</xdr:rowOff>
    </xdr:to>
    <xdr:sp macro="" textlink="">
      <xdr:nvSpPr>
        <xdr:cNvPr id="296" name="テキスト ボックス 295">
          <a:extLst>
            <a:ext uri="{FF2B5EF4-FFF2-40B4-BE49-F238E27FC236}">
              <a16:creationId xmlns:a16="http://schemas.microsoft.com/office/drawing/2014/main" id="{A35D92B0-6BFD-4020-BB68-C2360BFBCEF2}"/>
            </a:ext>
          </a:extLst>
        </xdr:cNvPr>
        <xdr:cNvSpPr txBox="1"/>
      </xdr:nvSpPr>
      <xdr:spPr>
        <a:xfrm>
          <a:off x="17884775" y="23564850"/>
          <a:ext cx="3057525" cy="4191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■定格能力・消費電力を入力してください。</a:t>
          </a:r>
        </a:p>
      </xdr:txBody>
    </xdr:sp>
    <xdr:clientData/>
  </xdr:twoCellAnchor>
  <xdr:twoCellAnchor>
    <xdr:from>
      <xdr:col>22</xdr:col>
      <xdr:colOff>438150</xdr:colOff>
      <xdr:row>160</xdr:row>
      <xdr:rowOff>142874</xdr:rowOff>
    </xdr:from>
    <xdr:to>
      <xdr:col>25</xdr:col>
      <xdr:colOff>130175</xdr:colOff>
      <xdr:row>162</xdr:row>
      <xdr:rowOff>134624</xdr:rowOff>
    </xdr:to>
    <xdr:sp macro="" textlink="">
      <xdr:nvSpPr>
        <xdr:cNvPr id="333" name="楕円 332">
          <a:extLst>
            <a:ext uri="{FF2B5EF4-FFF2-40B4-BE49-F238E27FC236}">
              <a16:creationId xmlns:a16="http://schemas.microsoft.com/office/drawing/2014/main" id="{74D9077C-A306-4990-BBB2-7EAF20848392}"/>
            </a:ext>
          </a:extLst>
        </xdr:cNvPr>
        <xdr:cNvSpPr/>
      </xdr:nvSpPr>
      <xdr:spPr>
        <a:xfrm>
          <a:off x="17421225" y="40500299"/>
          <a:ext cx="1663700" cy="4489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836614</xdr:colOff>
      <xdr:row>156</xdr:row>
      <xdr:rowOff>133350</xdr:rowOff>
    </xdr:from>
    <xdr:to>
      <xdr:col>23</xdr:col>
      <xdr:colOff>133350</xdr:colOff>
      <xdr:row>160</xdr:row>
      <xdr:rowOff>152400</xdr:rowOff>
    </xdr:to>
    <xdr:cxnSp macro="">
      <xdr:nvCxnSpPr>
        <xdr:cNvPr id="334" name="直線矢印コネクタ 333">
          <a:extLst>
            <a:ext uri="{FF2B5EF4-FFF2-40B4-BE49-F238E27FC236}">
              <a16:creationId xmlns:a16="http://schemas.microsoft.com/office/drawing/2014/main" id="{66D41EDF-952D-4277-B836-F88675DC991C}"/>
            </a:ext>
          </a:extLst>
        </xdr:cNvPr>
        <xdr:cNvCxnSpPr>
          <a:cxnSpLocks/>
        </xdr:cNvCxnSpPr>
      </xdr:nvCxnSpPr>
      <xdr:spPr>
        <a:xfrm>
          <a:off x="16038514" y="39309675"/>
          <a:ext cx="1735136" cy="12001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20</xdr:col>
      <xdr:colOff>133350</xdr:colOff>
      <xdr:row>160</xdr:row>
      <xdr:rowOff>111125</xdr:rowOff>
    </xdr:from>
    <xdr:to>
      <xdr:col>20</xdr:col>
      <xdr:colOff>637350</xdr:colOff>
      <xdr:row>162</xdr:row>
      <xdr:rowOff>145225</xdr:rowOff>
    </xdr:to>
    <xdr:sp macro="" textlink="">
      <xdr:nvSpPr>
        <xdr:cNvPr id="336" name="楕円 335">
          <a:extLst>
            <a:ext uri="{FF2B5EF4-FFF2-40B4-BE49-F238E27FC236}">
              <a16:creationId xmlns:a16="http://schemas.microsoft.com/office/drawing/2014/main" id="{FB8DD0DC-ACCA-4ABE-89FC-19CA923E3F2B}"/>
            </a:ext>
          </a:extLst>
        </xdr:cNvPr>
        <xdr:cNvSpPr/>
      </xdr:nvSpPr>
      <xdr:spPr>
        <a:xfrm>
          <a:off x="14497050" y="40468550"/>
          <a:ext cx="504000" cy="491300"/>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200025</xdr:colOff>
      <xdr:row>160</xdr:row>
      <xdr:rowOff>111125</xdr:rowOff>
    </xdr:from>
    <xdr:to>
      <xdr:col>24</xdr:col>
      <xdr:colOff>46800</xdr:colOff>
      <xdr:row>162</xdr:row>
      <xdr:rowOff>142050</xdr:rowOff>
    </xdr:to>
    <xdr:sp macro="" textlink="">
      <xdr:nvSpPr>
        <xdr:cNvPr id="337" name="楕円 336">
          <a:extLst>
            <a:ext uri="{FF2B5EF4-FFF2-40B4-BE49-F238E27FC236}">
              <a16:creationId xmlns:a16="http://schemas.microsoft.com/office/drawing/2014/main" id="{B7824E71-2373-468A-B9AB-128048115171}"/>
            </a:ext>
          </a:extLst>
        </xdr:cNvPr>
        <xdr:cNvSpPr/>
      </xdr:nvSpPr>
      <xdr:spPr>
        <a:xfrm>
          <a:off x="17840325" y="40468550"/>
          <a:ext cx="504000"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123825</xdr:colOff>
      <xdr:row>164</xdr:row>
      <xdr:rowOff>139700</xdr:rowOff>
    </xdr:from>
    <xdr:to>
      <xdr:col>24</xdr:col>
      <xdr:colOff>323851</xdr:colOff>
      <xdr:row>166</xdr:row>
      <xdr:rowOff>25400</xdr:rowOff>
    </xdr:to>
    <xdr:sp macro="" textlink="">
      <xdr:nvSpPr>
        <xdr:cNvPr id="338" name="テキスト ボックス 337">
          <a:extLst>
            <a:ext uri="{FF2B5EF4-FFF2-40B4-BE49-F238E27FC236}">
              <a16:creationId xmlns:a16="http://schemas.microsoft.com/office/drawing/2014/main" id="{F8445D4E-1C27-4B3C-8C41-941D3F21BECA}"/>
            </a:ext>
          </a:extLst>
        </xdr:cNvPr>
        <xdr:cNvSpPr txBox="1"/>
      </xdr:nvSpPr>
      <xdr:spPr>
        <a:xfrm>
          <a:off x="13830300" y="41411525"/>
          <a:ext cx="4791076" cy="342900"/>
        </a:xfrm>
        <a:prstGeom prst="rect">
          <a:avLst/>
        </a:prstGeom>
        <a:solidFill>
          <a:srgbClr val="FBFBFB"/>
        </a:solidFill>
        <a:ln w="1905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先に規格をプルダウンから選ぶことで、定格出力が選択可能になります。</a:t>
          </a:r>
        </a:p>
      </xdr:txBody>
    </xdr:sp>
    <xdr:clientData/>
  </xdr:twoCellAnchor>
  <xdr:twoCellAnchor>
    <xdr:from>
      <xdr:col>20</xdr:col>
      <xdr:colOff>391700</xdr:colOff>
      <xdr:row>162</xdr:row>
      <xdr:rowOff>145225</xdr:rowOff>
    </xdr:from>
    <xdr:to>
      <xdr:col>20</xdr:col>
      <xdr:colOff>552450</xdr:colOff>
      <xdr:row>164</xdr:row>
      <xdr:rowOff>139700</xdr:rowOff>
    </xdr:to>
    <xdr:cxnSp macro="">
      <xdr:nvCxnSpPr>
        <xdr:cNvPr id="339" name="直線矢印コネクタ 338">
          <a:extLst>
            <a:ext uri="{FF2B5EF4-FFF2-40B4-BE49-F238E27FC236}">
              <a16:creationId xmlns:a16="http://schemas.microsoft.com/office/drawing/2014/main" id="{FFAF4C82-1EB1-4777-969B-FCC71A795D68}"/>
            </a:ext>
          </a:extLst>
        </xdr:cNvPr>
        <xdr:cNvCxnSpPr>
          <a:endCxn id="336" idx="4"/>
        </xdr:cNvCxnSpPr>
      </xdr:nvCxnSpPr>
      <xdr:spPr>
        <a:xfrm flipH="1" flipV="1">
          <a:off x="14755400" y="40959850"/>
          <a:ext cx="160750"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377825</xdr:colOff>
      <xdr:row>162</xdr:row>
      <xdr:rowOff>142050</xdr:rowOff>
    </xdr:from>
    <xdr:to>
      <xdr:col>23</xdr:col>
      <xdr:colOff>445675</xdr:colOff>
      <xdr:row>164</xdr:row>
      <xdr:rowOff>142875</xdr:rowOff>
    </xdr:to>
    <xdr:cxnSp macro="">
      <xdr:nvCxnSpPr>
        <xdr:cNvPr id="340" name="直線矢印コネクタ 339">
          <a:extLst>
            <a:ext uri="{FF2B5EF4-FFF2-40B4-BE49-F238E27FC236}">
              <a16:creationId xmlns:a16="http://schemas.microsoft.com/office/drawing/2014/main" id="{2C085D20-55FA-4158-A00B-6B1D12DC43D7}"/>
            </a:ext>
          </a:extLst>
        </xdr:cNvPr>
        <xdr:cNvCxnSpPr>
          <a:endCxn id="337" idx="4"/>
        </xdr:cNvCxnSpPr>
      </xdr:nvCxnSpPr>
      <xdr:spPr>
        <a:xfrm flipV="1">
          <a:off x="18018125" y="40956675"/>
          <a:ext cx="67850" cy="45802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570810</xdr:colOff>
      <xdr:row>230</xdr:row>
      <xdr:rowOff>178766</xdr:rowOff>
    </xdr:from>
    <xdr:to>
      <xdr:col>7</xdr:col>
      <xdr:colOff>66675</xdr:colOff>
      <xdr:row>232</xdr:row>
      <xdr:rowOff>85725</xdr:rowOff>
    </xdr:to>
    <xdr:sp macro="" textlink="">
      <xdr:nvSpPr>
        <xdr:cNvPr id="355" name="楕円 354">
          <a:extLst>
            <a:ext uri="{FF2B5EF4-FFF2-40B4-BE49-F238E27FC236}">
              <a16:creationId xmlns:a16="http://schemas.microsoft.com/office/drawing/2014/main" id="{06924CC4-D374-4B69-AE2C-EAD9C4B5EABD}"/>
            </a:ext>
          </a:extLst>
        </xdr:cNvPr>
        <xdr:cNvSpPr/>
      </xdr:nvSpPr>
      <xdr:spPr>
        <a:xfrm>
          <a:off x="3847410" y="58928966"/>
          <a:ext cx="1562790" cy="36415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788504</xdr:colOff>
      <xdr:row>225</xdr:row>
      <xdr:rowOff>73301</xdr:rowOff>
    </xdr:from>
    <xdr:to>
      <xdr:col>6</xdr:col>
      <xdr:colOff>640107</xdr:colOff>
      <xdr:row>227</xdr:row>
      <xdr:rowOff>142525</xdr:rowOff>
    </xdr:to>
    <xdr:sp macro="" textlink="">
      <xdr:nvSpPr>
        <xdr:cNvPr id="356" name="テキスト ボックス 355">
          <a:extLst>
            <a:ext uri="{FF2B5EF4-FFF2-40B4-BE49-F238E27FC236}">
              <a16:creationId xmlns:a16="http://schemas.microsoft.com/office/drawing/2014/main" id="{15B73C66-9D11-456F-8406-84709D83E606}"/>
            </a:ext>
          </a:extLst>
        </xdr:cNvPr>
        <xdr:cNvSpPr txBox="1"/>
      </xdr:nvSpPr>
      <xdr:spPr>
        <a:xfrm>
          <a:off x="1445729" y="57299501"/>
          <a:ext cx="3785428" cy="52642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■小さい方の容量がシステム容量として試算されます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61843</xdr:colOff>
      <xdr:row>227</xdr:row>
      <xdr:rowOff>145700</xdr:rowOff>
    </xdr:from>
    <xdr:to>
      <xdr:col>5</xdr:col>
      <xdr:colOff>141985</xdr:colOff>
      <xdr:row>231</xdr:row>
      <xdr:rowOff>5741</xdr:rowOff>
    </xdr:to>
    <xdr:cxnSp macro="">
      <xdr:nvCxnSpPr>
        <xdr:cNvPr id="357" name="直線矢印コネクタ 356">
          <a:extLst>
            <a:ext uri="{FF2B5EF4-FFF2-40B4-BE49-F238E27FC236}">
              <a16:creationId xmlns:a16="http://schemas.microsoft.com/office/drawing/2014/main" id="{90A17501-A33E-450D-A2AF-4DB2F476CF02}"/>
            </a:ext>
          </a:extLst>
        </xdr:cNvPr>
        <xdr:cNvCxnSpPr>
          <a:stCxn id="356" idx="2"/>
          <a:endCxn id="355" idx="1"/>
        </xdr:cNvCxnSpPr>
      </xdr:nvCxnSpPr>
      <xdr:spPr>
        <a:xfrm>
          <a:off x="3338443" y="57829100"/>
          <a:ext cx="737367" cy="100304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95250</xdr:colOff>
      <xdr:row>235</xdr:row>
      <xdr:rowOff>152400</xdr:rowOff>
    </xdr:from>
    <xdr:to>
      <xdr:col>19</xdr:col>
      <xdr:colOff>448561</xdr:colOff>
      <xdr:row>245</xdr:row>
      <xdr:rowOff>225425</xdr:rowOff>
    </xdr:to>
    <xdr:sp macro="" textlink="">
      <xdr:nvSpPr>
        <xdr:cNvPr id="360" name="テキスト ボックス 359">
          <a:extLst>
            <a:ext uri="{FF2B5EF4-FFF2-40B4-BE49-F238E27FC236}">
              <a16:creationId xmlns:a16="http://schemas.microsoft.com/office/drawing/2014/main" id="{3CEC4E66-4FBD-45DF-B2AB-48DB340CE8F2}"/>
            </a:ext>
          </a:extLst>
        </xdr:cNvPr>
        <xdr:cNvSpPr txBox="1"/>
      </xdr:nvSpPr>
      <xdr:spPr>
        <a:xfrm>
          <a:off x="10725150" y="59893200"/>
          <a:ext cx="3429886" cy="23590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認定の可否を選択してください。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認定要件</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・システム容量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地上設置を含む場合は計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以上（同一敷地内）</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屋根設置のみは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未満も可</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・自家消費率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未満の場合）</a:t>
          </a:r>
        </a:p>
        <a:p>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542980</xdr:colOff>
      <xdr:row>234</xdr:row>
      <xdr:rowOff>149225</xdr:rowOff>
    </xdr:from>
    <xdr:to>
      <xdr:col>14</xdr:col>
      <xdr:colOff>104775</xdr:colOff>
      <xdr:row>236</xdr:row>
      <xdr:rowOff>73851</xdr:rowOff>
    </xdr:to>
    <xdr:sp macro="" textlink="">
      <xdr:nvSpPr>
        <xdr:cNvPr id="367" name="楕円 366">
          <a:extLst>
            <a:ext uri="{FF2B5EF4-FFF2-40B4-BE49-F238E27FC236}">
              <a16:creationId xmlns:a16="http://schemas.microsoft.com/office/drawing/2014/main" id="{FF990D63-0B4B-4C97-9FC9-FA934324D8F6}"/>
            </a:ext>
          </a:extLst>
        </xdr:cNvPr>
        <xdr:cNvSpPr/>
      </xdr:nvSpPr>
      <xdr:spPr>
        <a:xfrm>
          <a:off x="9201205" y="59661425"/>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235</xdr:row>
      <xdr:rowOff>111538</xdr:rowOff>
    </xdr:from>
    <xdr:to>
      <xdr:col>15</xdr:col>
      <xdr:colOff>95250</xdr:colOff>
      <xdr:row>237</xdr:row>
      <xdr:rowOff>85725</xdr:rowOff>
    </xdr:to>
    <xdr:cxnSp macro="">
      <xdr:nvCxnSpPr>
        <xdr:cNvPr id="368" name="直線矢印コネクタ 367">
          <a:extLst>
            <a:ext uri="{FF2B5EF4-FFF2-40B4-BE49-F238E27FC236}">
              <a16:creationId xmlns:a16="http://schemas.microsoft.com/office/drawing/2014/main" id="{E7C07119-DB52-4304-8768-809B57B78FC4}"/>
            </a:ext>
          </a:extLst>
        </xdr:cNvPr>
        <xdr:cNvCxnSpPr>
          <a:endCxn id="367" idx="6"/>
        </xdr:cNvCxnSpPr>
      </xdr:nvCxnSpPr>
      <xdr:spPr>
        <a:xfrm flipH="1" flipV="1">
          <a:off x="10074275" y="59852338"/>
          <a:ext cx="650875" cy="4313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558855</xdr:colOff>
      <xdr:row>240</xdr:row>
      <xdr:rowOff>139700</xdr:rowOff>
    </xdr:from>
    <xdr:to>
      <xdr:col>14</xdr:col>
      <xdr:colOff>120650</xdr:colOff>
      <xdr:row>242</xdr:row>
      <xdr:rowOff>64326</xdr:rowOff>
    </xdr:to>
    <xdr:sp macro="" textlink="">
      <xdr:nvSpPr>
        <xdr:cNvPr id="370" name="楕円 369">
          <a:extLst>
            <a:ext uri="{FF2B5EF4-FFF2-40B4-BE49-F238E27FC236}">
              <a16:creationId xmlns:a16="http://schemas.microsoft.com/office/drawing/2014/main" id="{31B8160B-B624-4A26-8B92-C74D2831B58F}"/>
            </a:ext>
          </a:extLst>
        </xdr:cNvPr>
        <xdr:cNvSpPr/>
      </xdr:nvSpPr>
      <xdr:spPr>
        <a:xfrm>
          <a:off x="9217080" y="61023500"/>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450532</xdr:colOff>
      <xdr:row>241</xdr:row>
      <xdr:rowOff>132373</xdr:rowOff>
    </xdr:from>
    <xdr:to>
      <xdr:col>10</xdr:col>
      <xdr:colOff>285750</xdr:colOff>
      <xdr:row>244</xdr:row>
      <xdr:rowOff>19051</xdr:rowOff>
    </xdr:to>
    <xdr:sp macro="" textlink="">
      <xdr:nvSpPr>
        <xdr:cNvPr id="371" name="テキスト ボックス 370">
          <a:extLst>
            <a:ext uri="{FF2B5EF4-FFF2-40B4-BE49-F238E27FC236}">
              <a16:creationId xmlns:a16="http://schemas.microsoft.com/office/drawing/2014/main" id="{03E36DAE-9A98-4A82-8933-4FAF246A3215}"/>
            </a:ext>
          </a:extLst>
        </xdr:cNvPr>
        <xdr:cNvSpPr txBox="1"/>
      </xdr:nvSpPr>
      <xdr:spPr>
        <a:xfrm>
          <a:off x="4384357" y="61244773"/>
          <a:ext cx="3245168" cy="57247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FIT</a:t>
          </a:r>
          <a:r>
            <a:rPr kumimoji="1" lang="ja-JP" altLang="en-US" sz="1100">
              <a:latin typeface="ＭＳ Ｐゴシック" panose="020B0600070205080204" pitchFamily="50" charset="-128"/>
              <a:ea typeface="ＭＳ Ｐゴシック" panose="020B0600070205080204" pitchFamily="50" charset="-128"/>
            </a:rPr>
            <a:t>認定を受けずに売電する場合は、単価を入力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66675</xdr:colOff>
      <xdr:row>231</xdr:row>
      <xdr:rowOff>132246</xdr:rowOff>
    </xdr:from>
    <xdr:to>
      <xdr:col>8</xdr:col>
      <xdr:colOff>285750</xdr:colOff>
      <xdr:row>231</xdr:row>
      <xdr:rowOff>133350</xdr:rowOff>
    </xdr:to>
    <xdr:cxnSp macro="">
      <xdr:nvCxnSpPr>
        <xdr:cNvPr id="373" name="直線矢印コネクタ 372">
          <a:extLst>
            <a:ext uri="{FF2B5EF4-FFF2-40B4-BE49-F238E27FC236}">
              <a16:creationId xmlns:a16="http://schemas.microsoft.com/office/drawing/2014/main" id="{8C3108FB-3753-4063-8CAB-2921A4BBB18B}"/>
            </a:ext>
          </a:extLst>
        </xdr:cNvPr>
        <xdr:cNvCxnSpPr>
          <a:stCxn id="355" idx="6"/>
        </xdr:cNvCxnSpPr>
      </xdr:nvCxnSpPr>
      <xdr:spPr>
        <a:xfrm>
          <a:off x="5410200" y="58958646"/>
          <a:ext cx="876300" cy="110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285750</xdr:colOff>
      <xdr:row>242</xdr:row>
      <xdr:rowOff>11584</xdr:rowOff>
    </xdr:from>
    <xdr:to>
      <xdr:col>13</xdr:col>
      <xdr:colOff>33128</xdr:colOff>
      <xdr:row>242</xdr:row>
      <xdr:rowOff>190012</xdr:rowOff>
    </xdr:to>
    <xdr:cxnSp macro="">
      <xdr:nvCxnSpPr>
        <xdr:cNvPr id="378" name="直線矢印コネクタ 377">
          <a:extLst>
            <a:ext uri="{FF2B5EF4-FFF2-40B4-BE49-F238E27FC236}">
              <a16:creationId xmlns:a16="http://schemas.microsoft.com/office/drawing/2014/main" id="{903F1F5A-8CAE-4FC2-BA6F-C5DBF1CDF589}"/>
            </a:ext>
          </a:extLst>
        </xdr:cNvPr>
        <xdr:cNvCxnSpPr>
          <a:stCxn id="371" idx="3"/>
          <a:endCxn id="370" idx="3"/>
        </xdr:cNvCxnSpPr>
      </xdr:nvCxnSpPr>
      <xdr:spPr>
        <a:xfrm flipV="1">
          <a:off x="7629525" y="61352584"/>
          <a:ext cx="1719053" cy="17842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117157</xdr:colOff>
      <xdr:row>263</xdr:row>
      <xdr:rowOff>240323</xdr:rowOff>
    </xdr:from>
    <xdr:to>
      <xdr:col>19</xdr:col>
      <xdr:colOff>282575</xdr:colOff>
      <xdr:row>265</xdr:row>
      <xdr:rowOff>36692</xdr:rowOff>
    </xdr:to>
    <xdr:sp macro="" textlink="">
      <xdr:nvSpPr>
        <xdr:cNvPr id="381" name="テキスト ボックス 380">
          <a:extLst>
            <a:ext uri="{FF2B5EF4-FFF2-40B4-BE49-F238E27FC236}">
              <a16:creationId xmlns:a16="http://schemas.microsoft.com/office/drawing/2014/main" id="{0852603D-1268-4A06-9B9D-997E69D1B856}"/>
            </a:ext>
          </a:extLst>
        </xdr:cNvPr>
        <xdr:cNvSpPr txBox="1"/>
      </xdr:nvSpPr>
      <xdr:spPr>
        <a:xfrm>
          <a:off x="10747057" y="66543848"/>
          <a:ext cx="3241993" cy="32976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■想定している自家消費率を入力してください。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562030</xdr:colOff>
      <xdr:row>255</xdr:row>
      <xdr:rowOff>333375</xdr:rowOff>
    </xdr:from>
    <xdr:to>
      <xdr:col>14</xdr:col>
      <xdr:colOff>123825</xdr:colOff>
      <xdr:row>257</xdr:row>
      <xdr:rowOff>73851</xdr:rowOff>
    </xdr:to>
    <xdr:sp macro="" textlink="">
      <xdr:nvSpPr>
        <xdr:cNvPr id="382" name="楕円 381">
          <a:extLst>
            <a:ext uri="{FF2B5EF4-FFF2-40B4-BE49-F238E27FC236}">
              <a16:creationId xmlns:a16="http://schemas.microsoft.com/office/drawing/2014/main" id="{81247CBB-A517-4A8E-B701-98DF6E2412C4}"/>
            </a:ext>
          </a:extLst>
        </xdr:cNvPr>
        <xdr:cNvSpPr/>
      </xdr:nvSpPr>
      <xdr:spPr>
        <a:xfrm>
          <a:off x="9258355" y="63131700"/>
          <a:ext cx="1000070" cy="4358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123825</xdr:colOff>
      <xdr:row>256</xdr:row>
      <xdr:rowOff>160751</xdr:rowOff>
    </xdr:from>
    <xdr:to>
      <xdr:col>15</xdr:col>
      <xdr:colOff>342900</xdr:colOff>
      <xdr:row>263</xdr:row>
      <xdr:rowOff>238125</xdr:rowOff>
    </xdr:to>
    <xdr:cxnSp macro="">
      <xdr:nvCxnSpPr>
        <xdr:cNvPr id="383" name="直線矢印コネクタ 382">
          <a:extLst>
            <a:ext uri="{FF2B5EF4-FFF2-40B4-BE49-F238E27FC236}">
              <a16:creationId xmlns:a16="http://schemas.microsoft.com/office/drawing/2014/main" id="{6ABC3868-831C-4446-A99D-AE2FDEDBC477}"/>
            </a:ext>
          </a:extLst>
        </xdr:cNvPr>
        <xdr:cNvCxnSpPr>
          <a:endCxn id="382" idx="6"/>
        </xdr:cNvCxnSpPr>
      </xdr:nvCxnSpPr>
      <xdr:spPr>
        <a:xfrm flipH="1" flipV="1">
          <a:off x="10258425" y="63349601"/>
          <a:ext cx="876300" cy="199189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101600</xdr:colOff>
      <xdr:row>266</xdr:row>
      <xdr:rowOff>114300</xdr:rowOff>
    </xdr:from>
    <xdr:to>
      <xdr:col>19</xdr:col>
      <xdr:colOff>445386</xdr:colOff>
      <xdr:row>270</xdr:row>
      <xdr:rowOff>225425</xdr:rowOff>
    </xdr:to>
    <xdr:sp macro="" textlink="">
      <xdr:nvSpPr>
        <xdr:cNvPr id="388" name="テキスト ボックス 387">
          <a:extLst>
            <a:ext uri="{FF2B5EF4-FFF2-40B4-BE49-F238E27FC236}">
              <a16:creationId xmlns:a16="http://schemas.microsoft.com/office/drawing/2014/main" id="{01C686B3-497D-4A32-B9EF-F555CDE0B56C}"/>
            </a:ext>
          </a:extLst>
        </xdr:cNvPr>
        <xdr:cNvSpPr txBox="1"/>
      </xdr:nvSpPr>
      <xdr:spPr>
        <a:xfrm>
          <a:off x="10731500" y="67256025"/>
          <a:ext cx="3420361" cy="10255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認定の可否を選択してください。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539805</xdr:colOff>
      <xdr:row>260</xdr:row>
      <xdr:rowOff>361950</xdr:rowOff>
    </xdr:from>
    <xdr:to>
      <xdr:col>14</xdr:col>
      <xdr:colOff>101600</xdr:colOff>
      <xdr:row>262</xdr:row>
      <xdr:rowOff>77026</xdr:rowOff>
    </xdr:to>
    <xdr:sp macro="" textlink="">
      <xdr:nvSpPr>
        <xdr:cNvPr id="389" name="楕円 388">
          <a:extLst>
            <a:ext uri="{FF2B5EF4-FFF2-40B4-BE49-F238E27FC236}">
              <a16:creationId xmlns:a16="http://schemas.microsoft.com/office/drawing/2014/main" id="{8267F03C-8599-4D63-B17F-188831B7816F}"/>
            </a:ext>
          </a:extLst>
        </xdr:cNvPr>
        <xdr:cNvSpPr/>
      </xdr:nvSpPr>
      <xdr:spPr>
        <a:xfrm>
          <a:off x="9236130" y="64617600"/>
          <a:ext cx="1000070" cy="3342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261</xdr:row>
      <xdr:rowOff>138526</xdr:rowOff>
    </xdr:from>
    <xdr:to>
      <xdr:col>15</xdr:col>
      <xdr:colOff>285750</xdr:colOff>
      <xdr:row>266</xdr:row>
      <xdr:rowOff>104775</xdr:rowOff>
    </xdr:to>
    <xdr:cxnSp macro="">
      <xdr:nvCxnSpPr>
        <xdr:cNvPr id="390" name="直線矢印コネクタ 389">
          <a:extLst>
            <a:ext uri="{FF2B5EF4-FFF2-40B4-BE49-F238E27FC236}">
              <a16:creationId xmlns:a16="http://schemas.microsoft.com/office/drawing/2014/main" id="{CC01F54E-2FF9-4773-A5CF-BB4D1D34BBEA}"/>
            </a:ext>
          </a:extLst>
        </xdr:cNvPr>
        <xdr:cNvCxnSpPr>
          <a:endCxn id="389" idx="6"/>
        </xdr:cNvCxnSpPr>
      </xdr:nvCxnSpPr>
      <xdr:spPr>
        <a:xfrm flipH="1" flipV="1">
          <a:off x="10236200" y="64784701"/>
          <a:ext cx="841375" cy="126164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558855</xdr:colOff>
      <xdr:row>265</xdr:row>
      <xdr:rowOff>225425</xdr:rowOff>
    </xdr:from>
    <xdr:to>
      <xdr:col>14</xdr:col>
      <xdr:colOff>120650</xdr:colOff>
      <xdr:row>267</xdr:row>
      <xdr:rowOff>73851</xdr:rowOff>
    </xdr:to>
    <xdr:sp macro="" textlink="">
      <xdr:nvSpPr>
        <xdr:cNvPr id="391" name="楕円 390">
          <a:extLst>
            <a:ext uri="{FF2B5EF4-FFF2-40B4-BE49-F238E27FC236}">
              <a16:creationId xmlns:a16="http://schemas.microsoft.com/office/drawing/2014/main" id="{2104F2B6-E8C8-472A-B79D-C4FC6C5D5E1D}"/>
            </a:ext>
          </a:extLst>
        </xdr:cNvPr>
        <xdr:cNvSpPr/>
      </xdr:nvSpPr>
      <xdr:spPr>
        <a:xfrm>
          <a:off x="9217080" y="67043300"/>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450532</xdr:colOff>
      <xdr:row>266</xdr:row>
      <xdr:rowOff>132372</xdr:rowOff>
    </xdr:from>
    <xdr:to>
      <xdr:col>10</xdr:col>
      <xdr:colOff>282575</xdr:colOff>
      <xdr:row>269</xdr:row>
      <xdr:rowOff>47625</xdr:rowOff>
    </xdr:to>
    <xdr:sp macro="" textlink="">
      <xdr:nvSpPr>
        <xdr:cNvPr id="392" name="テキスト ボックス 391">
          <a:extLst>
            <a:ext uri="{FF2B5EF4-FFF2-40B4-BE49-F238E27FC236}">
              <a16:creationId xmlns:a16="http://schemas.microsoft.com/office/drawing/2014/main" id="{C05915C0-A726-41FF-B771-721B42B66EEB}"/>
            </a:ext>
          </a:extLst>
        </xdr:cNvPr>
        <xdr:cNvSpPr txBox="1"/>
      </xdr:nvSpPr>
      <xdr:spPr>
        <a:xfrm>
          <a:off x="4384357" y="67255047"/>
          <a:ext cx="3241993" cy="60105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FIT</a:t>
          </a:r>
          <a:r>
            <a:rPr kumimoji="1" lang="ja-JP" altLang="en-US" sz="1100">
              <a:latin typeface="ＭＳ Ｐゴシック" panose="020B0600070205080204" pitchFamily="50" charset="-128"/>
              <a:ea typeface="ＭＳ Ｐゴシック" panose="020B0600070205080204" pitchFamily="50" charset="-128"/>
            </a:rPr>
            <a:t>認定を受けずに売電する場合は、単価を入力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282575</xdr:colOff>
      <xdr:row>267</xdr:row>
      <xdr:rowOff>17934</xdr:rowOff>
    </xdr:from>
    <xdr:to>
      <xdr:col>13</xdr:col>
      <xdr:colOff>33128</xdr:colOff>
      <xdr:row>267</xdr:row>
      <xdr:rowOff>204299</xdr:rowOff>
    </xdr:to>
    <xdr:cxnSp macro="">
      <xdr:nvCxnSpPr>
        <xdr:cNvPr id="393" name="直線矢印コネクタ 392">
          <a:extLst>
            <a:ext uri="{FF2B5EF4-FFF2-40B4-BE49-F238E27FC236}">
              <a16:creationId xmlns:a16="http://schemas.microsoft.com/office/drawing/2014/main" id="{C7BFC43D-7019-4341-BEE1-EA4C013563F9}"/>
            </a:ext>
          </a:extLst>
        </xdr:cNvPr>
        <xdr:cNvCxnSpPr>
          <a:stCxn id="392" idx="3"/>
          <a:endCxn id="391" idx="3"/>
        </xdr:cNvCxnSpPr>
      </xdr:nvCxnSpPr>
      <xdr:spPr>
        <a:xfrm flipV="1">
          <a:off x="7626350" y="67369209"/>
          <a:ext cx="1722228" cy="18636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69160</xdr:colOff>
      <xdr:row>251</xdr:row>
      <xdr:rowOff>169241</xdr:rowOff>
    </xdr:from>
    <xdr:to>
      <xdr:col>10</xdr:col>
      <xdr:colOff>36994</xdr:colOff>
      <xdr:row>253</xdr:row>
      <xdr:rowOff>76200</xdr:rowOff>
    </xdr:to>
    <xdr:sp macro="" textlink="">
      <xdr:nvSpPr>
        <xdr:cNvPr id="394" name="楕円 393">
          <a:extLst>
            <a:ext uri="{FF2B5EF4-FFF2-40B4-BE49-F238E27FC236}">
              <a16:creationId xmlns:a16="http://schemas.microsoft.com/office/drawing/2014/main" id="{57A97D45-5D79-445D-8219-FED5B213F372}"/>
            </a:ext>
          </a:extLst>
        </xdr:cNvPr>
        <xdr:cNvSpPr/>
      </xdr:nvSpPr>
      <xdr:spPr>
        <a:xfrm>
          <a:off x="6727135" y="63634316"/>
          <a:ext cx="653634" cy="36415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295274</xdr:colOff>
      <xdr:row>253</xdr:row>
      <xdr:rowOff>66675</xdr:rowOff>
    </xdr:from>
    <xdr:to>
      <xdr:col>8</xdr:col>
      <xdr:colOff>520699</xdr:colOff>
      <xdr:row>254</xdr:row>
      <xdr:rowOff>180625</xdr:rowOff>
    </xdr:to>
    <xdr:sp macro="" textlink="">
      <xdr:nvSpPr>
        <xdr:cNvPr id="395" name="テキスト ボックス 394">
          <a:extLst>
            <a:ext uri="{FF2B5EF4-FFF2-40B4-BE49-F238E27FC236}">
              <a16:creationId xmlns:a16="http://schemas.microsoft.com/office/drawing/2014/main" id="{18B72241-061A-435A-AE24-8AA648F37D08}"/>
            </a:ext>
          </a:extLst>
        </xdr:cNvPr>
        <xdr:cNvSpPr txBox="1"/>
      </xdr:nvSpPr>
      <xdr:spPr>
        <a:xfrm>
          <a:off x="3571874" y="63988950"/>
          <a:ext cx="2949575" cy="342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■想定している稼働率を入力してください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520699</xdr:colOff>
      <xdr:row>253</xdr:row>
      <xdr:rowOff>22870</xdr:rowOff>
    </xdr:from>
    <xdr:to>
      <xdr:col>9</xdr:col>
      <xdr:colOff>162172</xdr:colOff>
      <xdr:row>254</xdr:row>
      <xdr:rowOff>9350</xdr:rowOff>
    </xdr:to>
    <xdr:cxnSp macro="">
      <xdr:nvCxnSpPr>
        <xdr:cNvPr id="396" name="直線矢印コネクタ 395">
          <a:extLst>
            <a:ext uri="{FF2B5EF4-FFF2-40B4-BE49-F238E27FC236}">
              <a16:creationId xmlns:a16="http://schemas.microsoft.com/office/drawing/2014/main" id="{12556907-CBA8-4FDC-BEC8-0DFBE3B3BE56}"/>
            </a:ext>
          </a:extLst>
        </xdr:cNvPr>
        <xdr:cNvCxnSpPr>
          <a:stCxn id="395" idx="3"/>
          <a:endCxn id="394" idx="3"/>
        </xdr:cNvCxnSpPr>
      </xdr:nvCxnSpPr>
      <xdr:spPr>
        <a:xfrm flipV="1">
          <a:off x="6521449" y="63945145"/>
          <a:ext cx="298698" cy="21508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254000</xdr:colOff>
      <xdr:row>260</xdr:row>
      <xdr:rowOff>97776</xdr:rowOff>
    </xdr:from>
    <xdr:to>
      <xdr:col>5</xdr:col>
      <xdr:colOff>101737</xdr:colOff>
      <xdr:row>262</xdr:row>
      <xdr:rowOff>188031</xdr:rowOff>
    </xdr:to>
    <xdr:sp macro="" textlink="">
      <xdr:nvSpPr>
        <xdr:cNvPr id="404" name="テキスト ボックス 403">
          <a:extLst>
            <a:ext uri="{FF2B5EF4-FFF2-40B4-BE49-F238E27FC236}">
              <a16:creationId xmlns:a16="http://schemas.microsoft.com/office/drawing/2014/main" id="{26915C1B-0357-4A41-9191-76A9AB013B1B}"/>
            </a:ext>
          </a:extLst>
        </xdr:cNvPr>
        <xdr:cNvSpPr txBox="1"/>
      </xdr:nvSpPr>
      <xdr:spPr>
        <a:xfrm>
          <a:off x="911225" y="65696451"/>
          <a:ext cx="3124337" cy="5474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■新規か既設導水路活用型かをプルダウンから選択してください。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6419</xdr:colOff>
      <xdr:row>259</xdr:row>
      <xdr:rowOff>69011</xdr:rowOff>
    </xdr:from>
    <xdr:to>
      <xdr:col>4</xdr:col>
      <xdr:colOff>307755</xdr:colOff>
      <xdr:row>260</xdr:row>
      <xdr:rowOff>97776</xdr:rowOff>
    </xdr:to>
    <xdr:cxnSp macro="">
      <xdr:nvCxnSpPr>
        <xdr:cNvPr id="405" name="直線矢印コネクタ 404">
          <a:extLst>
            <a:ext uri="{FF2B5EF4-FFF2-40B4-BE49-F238E27FC236}">
              <a16:creationId xmlns:a16="http://schemas.microsoft.com/office/drawing/2014/main" id="{D2D86EF6-D42C-47ED-BAF7-4530EE1B1FA5}"/>
            </a:ext>
          </a:extLst>
        </xdr:cNvPr>
        <xdr:cNvCxnSpPr>
          <a:cxnSpLocks/>
          <a:stCxn id="404" idx="0"/>
          <a:endCxn id="406" idx="4"/>
        </xdr:cNvCxnSpPr>
      </xdr:nvCxnSpPr>
      <xdr:spPr>
        <a:xfrm flipV="1">
          <a:off x="2473394" y="65439086"/>
          <a:ext cx="1110961" cy="25736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663617</xdr:colOff>
      <xdr:row>257</xdr:row>
      <xdr:rowOff>180975</xdr:rowOff>
    </xdr:from>
    <xdr:to>
      <xdr:col>5</xdr:col>
      <xdr:colOff>107468</xdr:colOff>
      <xdr:row>259</xdr:row>
      <xdr:rowOff>69011</xdr:rowOff>
    </xdr:to>
    <xdr:sp macro="" textlink="">
      <xdr:nvSpPr>
        <xdr:cNvPr id="406" name="楕円 405">
          <a:extLst>
            <a:ext uri="{FF2B5EF4-FFF2-40B4-BE49-F238E27FC236}">
              <a16:creationId xmlns:a16="http://schemas.microsoft.com/office/drawing/2014/main" id="{0BB75612-9478-46F0-84E4-2CEF6E6619A9}"/>
            </a:ext>
          </a:extLst>
        </xdr:cNvPr>
        <xdr:cNvSpPr/>
      </xdr:nvSpPr>
      <xdr:spPr>
        <a:xfrm>
          <a:off x="3130592" y="65093850"/>
          <a:ext cx="910701" cy="34523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231</xdr:row>
      <xdr:rowOff>0</xdr:rowOff>
    </xdr:from>
    <xdr:to>
      <xdr:col>20</xdr:col>
      <xdr:colOff>72610</xdr:colOff>
      <xdr:row>233</xdr:row>
      <xdr:rowOff>87079</xdr:rowOff>
    </xdr:to>
    <xdr:sp macro="" textlink="">
      <xdr:nvSpPr>
        <xdr:cNvPr id="421" name="テキスト ボックス 420">
          <a:extLst>
            <a:ext uri="{FF2B5EF4-FFF2-40B4-BE49-F238E27FC236}">
              <a16:creationId xmlns:a16="http://schemas.microsoft.com/office/drawing/2014/main" id="{4D35D1A5-95CF-4C8A-9106-2DABF82F1508}"/>
            </a:ext>
          </a:extLst>
        </xdr:cNvPr>
        <xdr:cNvSpPr txBox="1"/>
      </xdr:nvSpPr>
      <xdr:spPr>
        <a:xfrm>
          <a:off x="11287125" y="58845450"/>
          <a:ext cx="3149185" cy="54427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■買取価格は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年度当初が初期値です。試算条件とする価格に応じて上書きしてください。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258555</xdr:colOff>
      <xdr:row>229</xdr:row>
      <xdr:rowOff>314480</xdr:rowOff>
    </xdr:from>
    <xdr:to>
      <xdr:col>18</xdr:col>
      <xdr:colOff>758335</xdr:colOff>
      <xdr:row>231</xdr:row>
      <xdr:rowOff>0</xdr:rowOff>
    </xdr:to>
    <xdr:cxnSp macro="">
      <xdr:nvCxnSpPr>
        <xdr:cNvPr id="422" name="直線矢印コネクタ 421">
          <a:extLst>
            <a:ext uri="{FF2B5EF4-FFF2-40B4-BE49-F238E27FC236}">
              <a16:creationId xmlns:a16="http://schemas.microsoft.com/office/drawing/2014/main" id="{CB25B5DA-A4D0-42FC-ADB2-8B526C6AA2F1}"/>
            </a:ext>
          </a:extLst>
        </xdr:cNvPr>
        <xdr:cNvCxnSpPr>
          <a:stCxn id="421" idx="0"/>
          <a:endCxn id="425" idx="3"/>
        </xdr:cNvCxnSpPr>
      </xdr:nvCxnSpPr>
      <xdr:spPr>
        <a:xfrm flipV="1">
          <a:off x="12860130" y="58464605"/>
          <a:ext cx="499780" cy="38084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685800</xdr:colOff>
      <xdr:row>224</xdr:row>
      <xdr:rowOff>196850</xdr:rowOff>
    </xdr:from>
    <xdr:to>
      <xdr:col>19</xdr:col>
      <xdr:colOff>76200</xdr:colOff>
      <xdr:row>230</xdr:row>
      <xdr:rowOff>66675</xdr:rowOff>
    </xdr:to>
    <xdr:sp macro="" textlink="">
      <xdr:nvSpPr>
        <xdr:cNvPr id="425" name="楕円 424">
          <a:extLst>
            <a:ext uri="{FF2B5EF4-FFF2-40B4-BE49-F238E27FC236}">
              <a16:creationId xmlns:a16="http://schemas.microsoft.com/office/drawing/2014/main" id="{2686A36F-39C5-4D10-A040-817244E1AC47}"/>
            </a:ext>
          </a:extLst>
        </xdr:cNvPr>
        <xdr:cNvSpPr/>
      </xdr:nvSpPr>
      <xdr:spPr>
        <a:xfrm>
          <a:off x="13287375" y="57203975"/>
          <a:ext cx="495300" cy="14795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261</xdr:row>
      <xdr:rowOff>47625</xdr:rowOff>
    </xdr:from>
    <xdr:to>
      <xdr:col>20</xdr:col>
      <xdr:colOff>69435</xdr:colOff>
      <xdr:row>263</xdr:row>
      <xdr:rowOff>134704</xdr:rowOff>
    </xdr:to>
    <xdr:sp macro="" textlink="">
      <xdr:nvSpPr>
        <xdr:cNvPr id="431" name="テキスト ボックス 430">
          <a:extLst>
            <a:ext uri="{FF2B5EF4-FFF2-40B4-BE49-F238E27FC236}">
              <a16:creationId xmlns:a16="http://schemas.microsoft.com/office/drawing/2014/main" id="{28AD2013-0901-44F4-838D-72937ABCECCA}"/>
            </a:ext>
          </a:extLst>
        </xdr:cNvPr>
        <xdr:cNvSpPr txBox="1"/>
      </xdr:nvSpPr>
      <xdr:spPr>
        <a:xfrm>
          <a:off x="11287125" y="65893950"/>
          <a:ext cx="3146010" cy="54427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■買取価格は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年度当初が初期値です。試算条件とする価格に応じて上書きしてください。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256968</xdr:colOff>
      <xdr:row>259</xdr:row>
      <xdr:rowOff>15111</xdr:rowOff>
    </xdr:from>
    <xdr:to>
      <xdr:col>18</xdr:col>
      <xdr:colOff>758335</xdr:colOff>
      <xdr:row>261</xdr:row>
      <xdr:rowOff>44450</xdr:rowOff>
    </xdr:to>
    <xdr:cxnSp macro="">
      <xdr:nvCxnSpPr>
        <xdr:cNvPr id="432" name="直線矢印コネクタ 431">
          <a:extLst>
            <a:ext uri="{FF2B5EF4-FFF2-40B4-BE49-F238E27FC236}">
              <a16:creationId xmlns:a16="http://schemas.microsoft.com/office/drawing/2014/main" id="{BCE26642-B915-4B09-BA5F-CAE60ECC964B}"/>
            </a:ext>
          </a:extLst>
        </xdr:cNvPr>
        <xdr:cNvCxnSpPr>
          <a:stCxn id="431" idx="0"/>
          <a:endCxn id="433" idx="3"/>
        </xdr:cNvCxnSpPr>
      </xdr:nvCxnSpPr>
      <xdr:spPr>
        <a:xfrm flipV="1">
          <a:off x="12858543" y="65404236"/>
          <a:ext cx="501367" cy="48653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685800</xdr:colOff>
      <xdr:row>251</xdr:row>
      <xdr:rowOff>120650</xdr:rowOff>
    </xdr:from>
    <xdr:to>
      <xdr:col>19</xdr:col>
      <xdr:colOff>76200</xdr:colOff>
      <xdr:row>260</xdr:row>
      <xdr:rowOff>95250</xdr:rowOff>
    </xdr:to>
    <xdr:sp macro="" textlink="">
      <xdr:nvSpPr>
        <xdr:cNvPr id="433" name="楕円 432">
          <a:extLst>
            <a:ext uri="{FF2B5EF4-FFF2-40B4-BE49-F238E27FC236}">
              <a16:creationId xmlns:a16="http://schemas.microsoft.com/office/drawing/2014/main" id="{E2F403ED-9E44-443C-811F-6BFA3C44A1ED}"/>
            </a:ext>
          </a:extLst>
        </xdr:cNvPr>
        <xdr:cNvSpPr/>
      </xdr:nvSpPr>
      <xdr:spPr>
        <a:xfrm>
          <a:off x="13287375" y="63604775"/>
          <a:ext cx="495300" cy="21082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504827</xdr:colOff>
      <xdr:row>290</xdr:row>
      <xdr:rowOff>101600</xdr:rowOff>
    </xdr:from>
    <xdr:to>
      <xdr:col>4</xdr:col>
      <xdr:colOff>371476</xdr:colOff>
      <xdr:row>293</xdr:row>
      <xdr:rowOff>221325</xdr:rowOff>
    </xdr:to>
    <xdr:sp macro="" textlink="">
      <xdr:nvSpPr>
        <xdr:cNvPr id="452" name="テキスト ボックス 451">
          <a:extLst>
            <a:ext uri="{FF2B5EF4-FFF2-40B4-BE49-F238E27FC236}">
              <a16:creationId xmlns:a16="http://schemas.microsoft.com/office/drawing/2014/main" id="{4F836E51-C2BF-4A54-AA7A-B53D631EA5E9}"/>
            </a:ext>
          </a:extLst>
        </xdr:cNvPr>
        <xdr:cNvSpPr txBox="1"/>
      </xdr:nvSpPr>
      <xdr:spPr>
        <a:xfrm>
          <a:off x="1162052" y="73215500"/>
          <a:ext cx="2486024" cy="82457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 燃料種類がガスの場合、定格消費ガス量（㎥）に</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を乗じ、</a:t>
          </a:r>
          <a:r>
            <a:rPr kumimoji="1" lang="en-US" altLang="ja-JP" sz="1100">
              <a:latin typeface="ＭＳ Ｐゴシック" panose="020B0600070205080204" pitchFamily="50" charset="-128"/>
              <a:ea typeface="ＭＳ Ｐゴシック" panose="020B0600070205080204" pitchFamily="50" charset="-128"/>
            </a:rPr>
            <a:t>L</a:t>
          </a:r>
          <a:r>
            <a:rPr kumimoji="1" lang="ja-JP" altLang="en-US" sz="1100">
              <a:latin typeface="ＭＳ Ｐゴシック" panose="020B0600070205080204" pitchFamily="50" charset="-128"/>
              <a:ea typeface="ＭＳ Ｐゴシック" panose="020B0600070205080204" pitchFamily="50" charset="-128"/>
            </a:rPr>
            <a:t>換算してください。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909639</xdr:colOff>
      <xdr:row>293</xdr:row>
      <xdr:rowOff>221325</xdr:rowOff>
    </xdr:from>
    <xdr:to>
      <xdr:col>5</xdr:col>
      <xdr:colOff>17531</xdr:colOff>
      <xdr:row>298</xdr:row>
      <xdr:rowOff>188430</xdr:rowOff>
    </xdr:to>
    <xdr:cxnSp macro="">
      <xdr:nvCxnSpPr>
        <xdr:cNvPr id="453" name="直線矢印コネクタ 452">
          <a:extLst>
            <a:ext uri="{FF2B5EF4-FFF2-40B4-BE49-F238E27FC236}">
              <a16:creationId xmlns:a16="http://schemas.microsoft.com/office/drawing/2014/main" id="{8F224C3D-DCD3-44EC-A739-2E299853AA3E}"/>
            </a:ext>
          </a:extLst>
        </xdr:cNvPr>
        <xdr:cNvCxnSpPr>
          <a:cxnSpLocks/>
          <a:stCxn id="452" idx="2"/>
          <a:endCxn id="242" idx="0"/>
        </xdr:cNvCxnSpPr>
      </xdr:nvCxnSpPr>
      <xdr:spPr>
        <a:xfrm>
          <a:off x="2405064" y="74040075"/>
          <a:ext cx="1546292" cy="134823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139700</xdr:colOff>
      <xdr:row>287</xdr:row>
      <xdr:rowOff>225425</xdr:rowOff>
    </xdr:from>
    <xdr:to>
      <xdr:col>21</xdr:col>
      <xdr:colOff>771525</xdr:colOff>
      <xdr:row>291</xdr:row>
      <xdr:rowOff>133351</xdr:rowOff>
    </xdr:to>
    <xdr:sp macro="" textlink="">
      <xdr:nvSpPr>
        <xdr:cNvPr id="460" name="テキスト ボックス 459">
          <a:extLst>
            <a:ext uri="{FF2B5EF4-FFF2-40B4-BE49-F238E27FC236}">
              <a16:creationId xmlns:a16="http://schemas.microsoft.com/office/drawing/2014/main" id="{069A6CF3-68D0-441E-B263-255E6DA90D62}"/>
            </a:ext>
          </a:extLst>
        </xdr:cNvPr>
        <xdr:cNvSpPr txBox="1"/>
      </xdr:nvSpPr>
      <xdr:spPr>
        <a:xfrm>
          <a:off x="9607550" y="72586850"/>
          <a:ext cx="6537325" cy="8890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■更新後の設備がガス式の場合、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752474</xdr:colOff>
      <xdr:row>293</xdr:row>
      <xdr:rowOff>149225</xdr:rowOff>
    </xdr:from>
    <xdr:to>
      <xdr:col>15</xdr:col>
      <xdr:colOff>28574</xdr:colOff>
      <xdr:row>295</xdr:row>
      <xdr:rowOff>95250</xdr:rowOff>
    </xdr:to>
    <xdr:sp macro="" textlink="">
      <xdr:nvSpPr>
        <xdr:cNvPr id="461" name="楕円 460">
          <a:extLst>
            <a:ext uri="{FF2B5EF4-FFF2-40B4-BE49-F238E27FC236}">
              <a16:creationId xmlns:a16="http://schemas.microsoft.com/office/drawing/2014/main" id="{31D4D351-B2ED-4FBD-9F14-C44085445D0D}"/>
            </a:ext>
          </a:extLst>
        </xdr:cNvPr>
        <xdr:cNvSpPr/>
      </xdr:nvSpPr>
      <xdr:spPr>
        <a:xfrm>
          <a:off x="9448799" y="73967975"/>
          <a:ext cx="13716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3174</xdr:colOff>
      <xdr:row>291</xdr:row>
      <xdr:rowOff>142875</xdr:rowOff>
    </xdr:from>
    <xdr:to>
      <xdr:col>16</xdr:col>
      <xdr:colOff>304800</xdr:colOff>
      <xdr:row>293</xdr:row>
      <xdr:rowOff>149225</xdr:rowOff>
    </xdr:to>
    <xdr:cxnSp macro="">
      <xdr:nvCxnSpPr>
        <xdr:cNvPr id="462" name="直線矢印コネクタ 461">
          <a:extLst>
            <a:ext uri="{FF2B5EF4-FFF2-40B4-BE49-F238E27FC236}">
              <a16:creationId xmlns:a16="http://schemas.microsoft.com/office/drawing/2014/main" id="{9E5332C8-3590-41A4-BBC6-CBDB29C2D5AA}"/>
            </a:ext>
          </a:extLst>
        </xdr:cNvPr>
        <xdr:cNvCxnSpPr>
          <a:endCxn id="461" idx="0"/>
        </xdr:cNvCxnSpPr>
      </xdr:nvCxnSpPr>
      <xdr:spPr>
        <a:xfrm flipH="1">
          <a:off x="10137774" y="73485375"/>
          <a:ext cx="1616076" cy="48260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38100</xdr:colOff>
      <xdr:row>298</xdr:row>
      <xdr:rowOff>169380</xdr:rowOff>
    </xdr:from>
    <xdr:to>
      <xdr:col>19</xdr:col>
      <xdr:colOff>114300</xdr:colOff>
      <xdr:row>300</xdr:row>
      <xdr:rowOff>55338</xdr:rowOff>
    </xdr:to>
    <xdr:sp macro="" textlink="">
      <xdr:nvSpPr>
        <xdr:cNvPr id="471" name="楕円 470">
          <a:extLst>
            <a:ext uri="{FF2B5EF4-FFF2-40B4-BE49-F238E27FC236}">
              <a16:creationId xmlns:a16="http://schemas.microsoft.com/office/drawing/2014/main" id="{C2FAD21A-2CED-460B-B70F-0AB28AF46C3D}"/>
            </a:ext>
          </a:extLst>
        </xdr:cNvPr>
        <xdr:cNvSpPr/>
      </xdr:nvSpPr>
      <xdr:spPr>
        <a:xfrm>
          <a:off x="12811125" y="75369255"/>
          <a:ext cx="1181100"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323022</xdr:colOff>
      <xdr:row>300</xdr:row>
      <xdr:rowOff>55338</xdr:rowOff>
    </xdr:from>
    <xdr:to>
      <xdr:col>18</xdr:col>
      <xdr:colOff>628650</xdr:colOff>
      <xdr:row>300</xdr:row>
      <xdr:rowOff>198920</xdr:rowOff>
    </xdr:to>
    <xdr:cxnSp macro="">
      <xdr:nvCxnSpPr>
        <xdr:cNvPr id="472" name="直線矢印コネクタ 471">
          <a:extLst>
            <a:ext uri="{FF2B5EF4-FFF2-40B4-BE49-F238E27FC236}">
              <a16:creationId xmlns:a16="http://schemas.microsoft.com/office/drawing/2014/main" id="{6D66FE7D-4717-41F3-AEC9-8C03192F71DE}"/>
            </a:ext>
          </a:extLst>
        </xdr:cNvPr>
        <xdr:cNvCxnSpPr>
          <a:cxnSpLocks/>
          <a:stCxn id="525" idx="0"/>
          <a:endCxn id="471" idx="4"/>
        </xdr:cNvCxnSpPr>
      </xdr:nvCxnSpPr>
      <xdr:spPr>
        <a:xfrm flipV="1">
          <a:off x="13096047" y="75712413"/>
          <a:ext cx="305628" cy="14358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639694</xdr:colOff>
      <xdr:row>300</xdr:row>
      <xdr:rowOff>198920</xdr:rowOff>
    </xdr:from>
    <xdr:to>
      <xdr:col>24</xdr:col>
      <xdr:colOff>590550</xdr:colOff>
      <xdr:row>306</xdr:row>
      <xdr:rowOff>66675</xdr:rowOff>
    </xdr:to>
    <xdr:sp macro="" textlink="">
      <xdr:nvSpPr>
        <xdr:cNvPr id="516" name="テキスト ボックス 515">
          <a:extLst>
            <a:ext uri="{FF2B5EF4-FFF2-40B4-BE49-F238E27FC236}">
              <a16:creationId xmlns:a16="http://schemas.microsoft.com/office/drawing/2014/main" id="{C6E91535-EEC1-4ED1-A588-554CCF1A2B03}"/>
            </a:ext>
          </a:extLst>
        </xdr:cNvPr>
        <xdr:cNvSpPr txBox="1"/>
      </xdr:nvSpPr>
      <xdr:spPr>
        <a:xfrm>
          <a:off x="14517619" y="75855995"/>
          <a:ext cx="4551431" cy="12393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■更新後に想定するエネルギー使用量の改善率を踏まえた係数を入力してください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例）更新前と比較して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エネルギー使用量が</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％削減される省エネ機器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1419985</xdr:colOff>
      <xdr:row>300</xdr:row>
      <xdr:rowOff>14609</xdr:rowOff>
    </xdr:from>
    <xdr:to>
      <xdr:col>22</xdr:col>
      <xdr:colOff>6968</xdr:colOff>
      <xdr:row>300</xdr:row>
      <xdr:rowOff>198920</xdr:rowOff>
    </xdr:to>
    <xdr:cxnSp macro="">
      <xdr:nvCxnSpPr>
        <xdr:cNvPr id="517" name="直線矢印コネクタ 516">
          <a:extLst>
            <a:ext uri="{FF2B5EF4-FFF2-40B4-BE49-F238E27FC236}">
              <a16:creationId xmlns:a16="http://schemas.microsoft.com/office/drawing/2014/main" id="{F0B07996-D40A-4715-9D9B-5BC821E40E0C}"/>
            </a:ext>
          </a:extLst>
        </xdr:cNvPr>
        <xdr:cNvCxnSpPr>
          <a:cxnSpLocks/>
          <a:stCxn id="516" idx="0"/>
          <a:endCxn id="523" idx="3"/>
        </xdr:cNvCxnSpPr>
      </xdr:nvCxnSpPr>
      <xdr:spPr>
        <a:xfrm flipV="1">
          <a:off x="16793335" y="75671684"/>
          <a:ext cx="368158" cy="1843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1659145</xdr:colOff>
      <xdr:row>298</xdr:row>
      <xdr:rowOff>182080</xdr:rowOff>
    </xdr:from>
    <xdr:to>
      <xdr:col>23</xdr:col>
      <xdr:colOff>92075</xdr:colOff>
      <xdr:row>300</xdr:row>
      <xdr:rowOff>68038</xdr:rowOff>
    </xdr:to>
    <xdr:sp macro="" textlink="">
      <xdr:nvSpPr>
        <xdr:cNvPr id="523" name="楕円 522">
          <a:extLst>
            <a:ext uri="{FF2B5EF4-FFF2-40B4-BE49-F238E27FC236}">
              <a16:creationId xmlns:a16="http://schemas.microsoft.com/office/drawing/2014/main" id="{624FB9A1-D9E2-4378-B607-565E081DA231}"/>
            </a:ext>
          </a:extLst>
        </xdr:cNvPr>
        <xdr:cNvSpPr/>
      </xdr:nvSpPr>
      <xdr:spPr>
        <a:xfrm>
          <a:off x="17032495" y="75381955"/>
          <a:ext cx="88085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382519</xdr:colOff>
      <xdr:row>300</xdr:row>
      <xdr:rowOff>202095</xdr:rowOff>
    </xdr:from>
    <xdr:to>
      <xdr:col>19</xdr:col>
      <xdr:colOff>485775</xdr:colOff>
      <xdr:row>303</xdr:row>
      <xdr:rowOff>200025</xdr:rowOff>
    </xdr:to>
    <xdr:sp macro="" textlink="">
      <xdr:nvSpPr>
        <xdr:cNvPr id="525" name="テキスト ボックス 524">
          <a:extLst>
            <a:ext uri="{FF2B5EF4-FFF2-40B4-BE49-F238E27FC236}">
              <a16:creationId xmlns:a16="http://schemas.microsoft.com/office/drawing/2014/main" id="{65245CEB-CCBE-493C-A946-A2A644F4FC3C}"/>
            </a:ext>
          </a:extLst>
        </xdr:cNvPr>
        <xdr:cNvSpPr txBox="1"/>
      </xdr:nvSpPr>
      <xdr:spPr>
        <a:xfrm>
          <a:off x="11831569" y="75859170"/>
          <a:ext cx="2532131"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■更新後に想定する平均負荷率を入力してください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573295</xdr:colOff>
      <xdr:row>298</xdr:row>
      <xdr:rowOff>178905</xdr:rowOff>
    </xdr:from>
    <xdr:to>
      <xdr:col>28</xdr:col>
      <xdr:colOff>139700</xdr:colOff>
      <xdr:row>300</xdr:row>
      <xdr:rowOff>64863</xdr:rowOff>
    </xdr:to>
    <xdr:sp macro="" textlink="">
      <xdr:nvSpPr>
        <xdr:cNvPr id="528" name="楕円 527">
          <a:extLst>
            <a:ext uri="{FF2B5EF4-FFF2-40B4-BE49-F238E27FC236}">
              <a16:creationId xmlns:a16="http://schemas.microsoft.com/office/drawing/2014/main" id="{877DDA23-BF09-43E3-96D5-04DA53240D81}"/>
            </a:ext>
          </a:extLst>
        </xdr:cNvPr>
        <xdr:cNvSpPr/>
      </xdr:nvSpPr>
      <xdr:spPr>
        <a:xfrm>
          <a:off x="20375770" y="75378780"/>
          <a:ext cx="88085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590550</xdr:colOff>
      <xdr:row>300</xdr:row>
      <xdr:rowOff>17784</xdr:rowOff>
    </xdr:from>
    <xdr:to>
      <xdr:col>27</xdr:col>
      <xdr:colOff>45533</xdr:colOff>
      <xdr:row>303</xdr:row>
      <xdr:rowOff>132798</xdr:rowOff>
    </xdr:to>
    <xdr:cxnSp macro="">
      <xdr:nvCxnSpPr>
        <xdr:cNvPr id="529" name="直線矢印コネクタ 528">
          <a:extLst>
            <a:ext uri="{FF2B5EF4-FFF2-40B4-BE49-F238E27FC236}">
              <a16:creationId xmlns:a16="http://schemas.microsoft.com/office/drawing/2014/main" id="{F13E1EAF-0FC1-48ED-96BE-FEADCD769B25}"/>
            </a:ext>
          </a:extLst>
        </xdr:cNvPr>
        <xdr:cNvCxnSpPr>
          <a:cxnSpLocks/>
          <a:stCxn id="516" idx="3"/>
          <a:endCxn id="528" idx="3"/>
        </xdr:cNvCxnSpPr>
      </xdr:nvCxnSpPr>
      <xdr:spPr>
        <a:xfrm flipV="1">
          <a:off x="19069050" y="75674859"/>
          <a:ext cx="1436183" cy="80081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28575</xdr:colOff>
      <xdr:row>300</xdr:row>
      <xdr:rowOff>82550</xdr:rowOff>
    </xdr:from>
    <xdr:to>
      <xdr:col>17</xdr:col>
      <xdr:colOff>340622</xdr:colOff>
      <xdr:row>301</xdr:row>
      <xdr:rowOff>123825</xdr:rowOff>
    </xdr:to>
    <xdr:cxnSp macro="">
      <xdr:nvCxnSpPr>
        <xdr:cNvPr id="552" name="直線矢印コネクタ 551">
          <a:extLst>
            <a:ext uri="{FF2B5EF4-FFF2-40B4-BE49-F238E27FC236}">
              <a16:creationId xmlns:a16="http://schemas.microsoft.com/office/drawing/2014/main" id="{71E58CBF-86E5-4287-8889-21D7A082ADF3}"/>
            </a:ext>
          </a:extLst>
        </xdr:cNvPr>
        <xdr:cNvCxnSpPr>
          <a:cxnSpLocks/>
          <a:endCxn id="557" idx="4"/>
        </xdr:cNvCxnSpPr>
      </xdr:nvCxnSpPr>
      <xdr:spPr>
        <a:xfrm flipV="1">
          <a:off x="9496425" y="75739625"/>
          <a:ext cx="2959997" cy="26987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17669</xdr:colOff>
      <xdr:row>298</xdr:row>
      <xdr:rowOff>142875</xdr:rowOff>
    </xdr:from>
    <xdr:to>
      <xdr:col>18</xdr:col>
      <xdr:colOff>9525</xdr:colOff>
      <xdr:row>300</xdr:row>
      <xdr:rowOff>85725</xdr:rowOff>
    </xdr:to>
    <xdr:sp macro="" textlink="">
      <xdr:nvSpPr>
        <xdr:cNvPr id="557" name="楕円 556">
          <a:extLst>
            <a:ext uri="{FF2B5EF4-FFF2-40B4-BE49-F238E27FC236}">
              <a16:creationId xmlns:a16="http://schemas.microsoft.com/office/drawing/2014/main" id="{E614FA75-89E7-4716-81C6-B94C2A114AEB}"/>
            </a:ext>
          </a:extLst>
        </xdr:cNvPr>
        <xdr:cNvSpPr/>
      </xdr:nvSpPr>
      <xdr:spPr>
        <a:xfrm>
          <a:off x="12133469" y="75342750"/>
          <a:ext cx="649081" cy="4000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628650</xdr:colOff>
      <xdr:row>325</xdr:row>
      <xdr:rowOff>107949</xdr:rowOff>
    </xdr:from>
    <xdr:to>
      <xdr:col>6</xdr:col>
      <xdr:colOff>28574</xdr:colOff>
      <xdr:row>325</xdr:row>
      <xdr:rowOff>514350</xdr:rowOff>
    </xdr:to>
    <xdr:sp macro="" textlink="">
      <xdr:nvSpPr>
        <xdr:cNvPr id="565" name="楕円 564">
          <a:extLst>
            <a:ext uri="{FF2B5EF4-FFF2-40B4-BE49-F238E27FC236}">
              <a16:creationId xmlns:a16="http://schemas.microsoft.com/office/drawing/2014/main" id="{37BAA2EE-37DB-4844-BBA9-23BD0B280766}"/>
            </a:ext>
          </a:extLst>
        </xdr:cNvPr>
        <xdr:cNvSpPr/>
      </xdr:nvSpPr>
      <xdr:spPr>
        <a:xfrm>
          <a:off x="3905250" y="80422749"/>
          <a:ext cx="723899" cy="4064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55491</xdr:colOff>
      <xdr:row>327</xdr:row>
      <xdr:rowOff>83516</xdr:rowOff>
    </xdr:from>
    <xdr:to>
      <xdr:col>14</xdr:col>
      <xdr:colOff>180975</xdr:colOff>
      <xdr:row>335</xdr:row>
      <xdr:rowOff>177801</xdr:rowOff>
    </xdr:to>
    <xdr:sp macro="" textlink="">
      <xdr:nvSpPr>
        <xdr:cNvPr id="566" name="テキスト ボックス 565">
          <a:extLst>
            <a:ext uri="{FF2B5EF4-FFF2-40B4-BE49-F238E27FC236}">
              <a16:creationId xmlns:a16="http://schemas.microsoft.com/office/drawing/2014/main" id="{D21DA4FF-35A2-472B-9A87-7050881E9A25}"/>
            </a:ext>
          </a:extLst>
        </xdr:cNvPr>
        <xdr:cNvSpPr txBox="1"/>
      </xdr:nvSpPr>
      <xdr:spPr>
        <a:xfrm>
          <a:off x="5408541" y="81236516"/>
          <a:ext cx="4907034" cy="192308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■仕様書等から定格出力を入力してください。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5</xdr:col>
      <xdr:colOff>592021</xdr:colOff>
      <xdr:row>325</xdr:row>
      <xdr:rowOff>454369</xdr:rowOff>
    </xdr:from>
    <xdr:to>
      <xdr:col>8</xdr:col>
      <xdr:colOff>428625</xdr:colOff>
      <xdr:row>327</xdr:row>
      <xdr:rowOff>66675</xdr:rowOff>
    </xdr:to>
    <xdr:cxnSp macro="">
      <xdr:nvCxnSpPr>
        <xdr:cNvPr id="567" name="直線矢印コネクタ 566">
          <a:extLst>
            <a:ext uri="{FF2B5EF4-FFF2-40B4-BE49-F238E27FC236}">
              <a16:creationId xmlns:a16="http://schemas.microsoft.com/office/drawing/2014/main" id="{1FA41EF5-7F3A-448B-B0BD-21F822206BB2}"/>
            </a:ext>
          </a:extLst>
        </xdr:cNvPr>
        <xdr:cNvCxnSpPr>
          <a:cxnSpLocks/>
          <a:endCxn id="565" idx="5"/>
        </xdr:cNvCxnSpPr>
      </xdr:nvCxnSpPr>
      <xdr:spPr>
        <a:xfrm flipH="1" flipV="1">
          <a:off x="4525846" y="80769169"/>
          <a:ext cx="1922579" cy="45050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409575</xdr:colOff>
      <xdr:row>325</xdr:row>
      <xdr:rowOff>523875</xdr:rowOff>
    </xdr:from>
    <xdr:to>
      <xdr:col>16</xdr:col>
      <xdr:colOff>342210</xdr:colOff>
      <xdr:row>327</xdr:row>
      <xdr:rowOff>85725</xdr:rowOff>
    </xdr:to>
    <xdr:cxnSp macro="">
      <xdr:nvCxnSpPr>
        <xdr:cNvPr id="568" name="直線矢印コネクタ 567">
          <a:extLst>
            <a:ext uri="{FF2B5EF4-FFF2-40B4-BE49-F238E27FC236}">
              <a16:creationId xmlns:a16="http://schemas.microsoft.com/office/drawing/2014/main" id="{4BBF68C1-9430-4B43-BAA7-C9DC69BD3B94}"/>
            </a:ext>
          </a:extLst>
        </xdr:cNvPr>
        <xdr:cNvCxnSpPr>
          <a:cxnSpLocks/>
          <a:endCxn id="569" idx="4"/>
        </xdr:cNvCxnSpPr>
      </xdr:nvCxnSpPr>
      <xdr:spPr>
        <a:xfrm flipV="1">
          <a:off x="9105900" y="80838675"/>
          <a:ext cx="2685360" cy="4000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17669</xdr:colOff>
      <xdr:row>325</xdr:row>
      <xdr:rowOff>120650</xdr:rowOff>
    </xdr:from>
    <xdr:to>
      <xdr:col>17</xdr:col>
      <xdr:colOff>0</xdr:colOff>
      <xdr:row>325</xdr:row>
      <xdr:rowOff>520700</xdr:rowOff>
    </xdr:to>
    <xdr:sp macro="" textlink="">
      <xdr:nvSpPr>
        <xdr:cNvPr id="569" name="楕円 568">
          <a:extLst>
            <a:ext uri="{FF2B5EF4-FFF2-40B4-BE49-F238E27FC236}">
              <a16:creationId xmlns:a16="http://schemas.microsoft.com/office/drawing/2014/main" id="{C31E1EEF-EF5F-46F8-8235-277E61F94D4B}"/>
            </a:ext>
          </a:extLst>
        </xdr:cNvPr>
        <xdr:cNvSpPr/>
      </xdr:nvSpPr>
      <xdr:spPr>
        <a:xfrm>
          <a:off x="11466719" y="80435450"/>
          <a:ext cx="649081" cy="4000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237298</xdr:colOff>
      <xdr:row>325</xdr:row>
      <xdr:rowOff>104774</xdr:rowOff>
    </xdr:from>
    <xdr:to>
      <xdr:col>8</xdr:col>
      <xdr:colOff>38101</xdr:colOff>
      <xdr:row>325</xdr:row>
      <xdr:rowOff>527049</xdr:rowOff>
    </xdr:to>
    <xdr:sp macro="" textlink="">
      <xdr:nvSpPr>
        <xdr:cNvPr id="578" name="楕円 577">
          <a:extLst>
            <a:ext uri="{FF2B5EF4-FFF2-40B4-BE49-F238E27FC236}">
              <a16:creationId xmlns:a16="http://schemas.microsoft.com/office/drawing/2014/main" id="{8BCA2874-E915-4166-8BD2-849C5965A71D}"/>
            </a:ext>
          </a:extLst>
        </xdr:cNvPr>
        <xdr:cNvSpPr/>
      </xdr:nvSpPr>
      <xdr:spPr>
        <a:xfrm>
          <a:off x="4837873" y="80419574"/>
          <a:ext cx="1220028" cy="4222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601732</xdr:colOff>
      <xdr:row>316</xdr:row>
      <xdr:rowOff>133073</xdr:rowOff>
    </xdr:from>
    <xdr:to>
      <xdr:col>8</xdr:col>
      <xdr:colOff>85725</xdr:colOff>
      <xdr:row>320</xdr:row>
      <xdr:rowOff>28574</xdr:rowOff>
    </xdr:to>
    <xdr:sp macro="" textlink="">
      <xdr:nvSpPr>
        <xdr:cNvPr id="579" name="テキスト ボックス 578">
          <a:extLst>
            <a:ext uri="{FF2B5EF4-FFF2-40B4-BE49-F238E27FC236}">
              <a16:creationId xmlns:a16="http://schemas.microsoft.com/office/drawing/2014/main" id="{F755E025-8C09-4A06-8D5B-4754A1FCA2D1}"/>
            </a:ext>
          </a:extLst>
        </xdr:cNvPr>
        <xdr:cNvSpPr txBox="1"/>
      </xdr:nvSpPr>
      <xdr:spPr>
        <a:xfrm>
          <a:off x="3878332" y="78314273"/>
          <a:ext cx="2227193" cy="8099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日当たりの稼働時間と年間稼働日数を入力してください。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388179</xdr:colOff>
      <xdr:row>320</xdr:row>
      <xdr:rowOff>31749</xdr:rowOff>
    </xdr:from>
    <xdr:to>
      <xdr:col>7</xdr:col>
      <xdr:colOff>94837</xdr:colOff>
      <xdr:row>325</xdr:row>
      <xdr:rowOff>104774</xdr:rowOff>
    </xdr:to>
    <xdr:cxnSp macro="">
      <xdr:nvCxnSpPr>
        <xdr:cNvPr id="580" name="直線矢印コネクタ 579">
          <a:extLst>
            <a:ext uri="{FF2B5EF4-FFF2-40B4-BE49-F238E27FC236}">
              <a16:creationId xmlns:a16="http://schemas.microsoft.com/office/drawing/2014/main" id="{927BD36D-F068-4F4E-8906-52EA9EC089DB}"/>
            </a:ext>
          </a:extLst>
        </xdr:cNvPr>
        <xdr:cNvCxnSpPr>
          <a:cxnSpLocks/>
          <a:stCxn id="579" idx="2"/>
          <a:endCxn id="578" idx="0"/>
        </xdr:cNvCxnSpPr>
      </xdr:nvCxnSpPr>
      <xdr:spPr>
        <a:xfrm>
          <a:off x="4988754" y="79127349"/>
          <a:ext cx="459133" cy="12922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160545</xdr:colOff>
      <xdr:row>325</xdr:row>
      <xdr:rowOff>133351</xdr:rowOff>
    </xdr:from>
    <xdr:to>
      <xdr:col>10</xdr:col>
      <xdr:colOff>86001</xdr:colOff>
      <xdr:row>325</xdr:row>
      <xdr:rowOff>506189</xdr:rowOff>
    </xdr:to>
    <xdr:sp macro="" textlink="">
      <xdr:nvSpPr>
        <xdr:cNvPr id="584" name="楕円 583">
          <a:extLst>
            <a:ext uri="{FF2B5EF4-FFF2-40B4-BE49-F238E27FC236}">
              <a16:creationId xmlns:a16="http://schemas.microsoft.com/office/drawing/2014/main" id="{77596FB1-909A-478D-B850-8FF0EC95BF84}"/>
            </a:ext>
          </a:extLst>
        </xdr:cNvPr>
        <xdr:cNvSpPr/>
      </xdr:nvSpPr>
      <xdr:spPr>
        <a:xfrm>
          <a:off x="6837570" y="80448151"/>
          <a:ext cx="611256" cy="3728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323850</xdr:colOff>
      <xdr:row>316</xdr:row>
      <xdr:rowOff>133351</xdr:rowOff>
    </xdr:from>
    <xdr:to>
      <xdr:col>12</xdr:col>
      <xdr:colOff>543063</xdr:colOff>
      <xdr:row>320</xdr:row>
      <xdr:rowOff>25400</xdr:rowOff>
    </xdr:to>
    <xdr:sp macro="" textlink="">
      <xdr:nvSpPr>
        <xdr:cNvPr id="585" name="テキスト ボックス 584">
          <a:extLst>
            <a:ext uri="{FF2B5EF4-FFF2-40B4-BE49-F238E27FC236}">
              <a16:creationId xmlns:a16="http://schemas.microsoft.com/office/drawing/2014/main" id="{3E47F4B3-8218-4D2A-9CF7-3B1665B58A92}"/>
            </a:ext>
          </a:extLst>
        </xdr:cNvPr>
        <xdr:cNvSpPr txBox="1"/>
      </xdr:nvSpPr>
      <xdr:spPr>
        <a:xfrm>
          <a:off x="6343650" y="78314551"/>
          <a:ext cx="2895738" cy="80644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■把握している平均負荷率を入力してください。実測値が不明な場合は概算値を入力してください。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466173</xdr:colOff>
      <xdr:row>320</xdr:row>
      <xdr:rowOff>28575</xdr:rowOff>
    </xdr:from>
    <xdr:to>
      <xdr:col>10</xdr:col>
      <xdr:colOff>427107</xdr:colOff>
      <xdr:row>325</xdr:row>
      <xdr:rowOff>133351</xdr:rowOff>
    </xdr:to>
    <xdr:cxnSp macro="">
      <xdr:nvCxnSpPr>
        <xdr:cNvPr id="586" name="直線矢印コネクタ 585">
          <a:extLst>
            <a:ext uri="{FF2B5EF4-FFF2-40B4-BE49-F238E27FC236}">
              <a16:creationId xmlns:a16="http://schemas.microsoft.com/office/drawing/2014/main" id="{573C75A7-8585-46D8-BC3A-9812CCCF6DE0}"/>
            </a:ext>
          </a:extLst>
        </xdr:cNvPr>
        <xdr:cNvCxnSpPr>
          <a:cxnSpLocks/>
          <a:stCxn id="585" idx="2"/>
          <a:endCxn id="584" idx="0"/>
        </xdr:cNvCxnSpPr>
      </xdr:nvCxnSpPr>
      <xdr:spPr>
        <a:xfrm flipH="1">
          <a:off x="7143198" y="79124175"/>
          <a:ext cx="646734" cy="132397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752474</xdr:colOff>
      <xdr:row>319</xdr:row>
      <xdr:rowOff>149225</xdr:rowOff>
    </xdr:from>
    <xdr:to>
      <xdr:col>19</xdr:col>
      <xdr:colOff>28574</xdr:colOff>
      <xdr:row>321</xdr:row>
      <xdr:rowOff>95250</xdr:rowOff>
    </xdr:to>
    <xdr:sp macro="" textlink="">
      <xdr:nvSpPr>
        <xdr:cNvPr id="589" name="楕円 588">
          <a:extLst>
            <a:ext uri="{FF2B5EF4-FFF2-40B4-BE49-F238E27FC236}">
              <a16:creationId xmlns:a16="http://schemas.microsoft.com/office/drawing/2014/main" id="{58194E84-E2FA-4E73-B094-7669510BAC5A}"/>
            </a:ext>
          </a:extLst>
        </xdr:cNvPr>
        <xdr:cNvSpPr/>
      </xdr:nvSpPr>
      <xdr:spPr>
        <a:xfrm>
          <a:off x="9451974" y="72767825"/>
          <a:ext cx="13716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644525</xdr:colOff>
      <xdr:row>313</xdr:row>
      <xdr:rowOff>168275</xdr:rowOff>
    </xdr:from>
    <xdr:to>
      <xdr:col>24</xdr:col>
      <xdr:colOff>152400</xdr:colOff>
      <xdr:row>317</xdr:row>
      <xdr:rowOff>76201</xdr:rowOff>
    </xdr:to>
    <xdr:sp macro="" textlink="">
      <xdr:nvSpPr>
        <xdr:cNvPr id="590" name="テキスト ボックス 589">
          <a:extLst>
            <a:ext uri="{FF2B5EF4-FFF2-40B4-BE49-F238E27FC236}">
              <a16:creationId xmlns:a16="http://schemas.microsoft.com/office/drawing/2014/main" id="{68B9E1BF-9FC0-4208-88B2-25EE9AC5B9BC}"/>
            </a:ext>
          </a:extLst>
        </xdr:cNvPr>
        <xdr:cNvSpPr txBox="1"/>
      </xdr:nvSpPr>
      <xdr:spPr>
        <a:xfrm>
          <a:off x="12093575" y="77597000"/>
          <a:ext cx="6537325" cy="8890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■更新後の設備がガス式の場合、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31749</xdr:colOff>
      <xdr:row>317</xdr:row>
      <xdr:rowOff>76201</xdr:rowOff>
    </xdr:from>
    <xdr:to>
      <xdr:col>20</xdr:col>
      <xdr:colOff>827088</xdr:colOff>
      <xdr:row>320</xdr:row>
      <xdr:rowOff>127000</xdr:rowOff>
    </xdr:to>
    <xdr:cxnSp macro="">
      <xdr:nvCxnSpPr>
        <xdr:cNvPr id="591" name="直線矢印コネクタ 590">
          <a:extLst>
            <a:ext uri="{FF2B5EF4-FFF2-40B4-BE49-F238E27FC236}">
              <a16:creationId xmlns:a16="http://schemas.microsoft.com/office/drawing/2014/main" id="{C13A5732-CEF0-4A00-841A-0C44BD26B6C2}"/>
            </a:ext>
          </a:extLst>
        </xdr:cNvPr>
        <xdr:cNvCxnSpPr>
          <a:stCxn id="590" idx="2"/>
          <a:endCxn id="589" idx="6"/>
        </xdr:cNvCxnSpPr>
      </xdr:nvCxnSpPr>
      <xdr:spPr>
        <a:xfrm flipH="1">
          <a:off x="13909674" y="78486001"/>
          <a:ext cx="1452564" cy="75564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370094</xdr:colOff>
      <xdr:row>324</xdr:row>
      <xdr:rowOff>123825</xdr:rowOff>
    </xdr:from>
    <xdr:to>
      <xdr:col>13</xdr:col>
      <xdr:colOff>323850</xdr:colOff>
      <xdr:row>325</xdr:row>
      <xdr:rowOff>285750</xdr:rowOff>
    </xdr:to>
    <xdr:sp macro="" textlink="">
      <xdr:nvSpPr>
        <xdr:cNvPr id="593" name="楕円 592">
          <a:extLst>
            <a:ext uri="{FF2B5EF4-FFF2-40B4-BE49-F238E27FC236}">
              <a16:creationId xmlns:a16="http://schemas.microsoft.com/office/drawing/2014/main" id="{4CD8548D-5BBF-49FF-BFCB-52B6D9EA274F}"/>
            </a:ext>
          </a:extLst>
        </xdr:cNvPr>
        <xdr:cNvSpPr/>
      </xdr:nvSpPr>
      <xdr:spPr>
        <a:xfrm>
          <a:off x="9066419" y="80238600"/>
          <a:ext cx="725281"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687319</xdr:colOff>
      <xdr:row>317</xdr:row>
      <xdr:rowOff>36995</xdr:rowOff>
    </xdr:from>
    <xdr:to>
      <xdr:col>16</xdr:col>
      <xdr:colOff>463550</xdr:colOff>
      <xdr:row>320</xdr:row>
      <xdr:rowOff>15875</xdr:rowOff>
    </xdr:to>
    <xdr:sp macro="" textlink="">
      <xdr:nvSpPr>
        <xdr:cNvPr id="594" name="テキスト ボックス 593">
          <a:extLst>
            <a:ext uri="{FF2B5EF4-FFF2-40B4-BE49-F238E27FC236}">
              <a16:creationId xmlns:a16="http://schemas.microsoft.com/office/drawing/2014/main" id="{D8C0F66A-DC05-421C-BACC-09A2FD897C25}"/>
            </a:ext>
          </a:extLst>
        </xdr:cNvPr>
        <xdr:cNvSpPr txBox="1"/>
      </xdr:nvSpPr>
      <xdr:spPr>
        <a:xfrm>
          <a:off x="9383644" y="78446795"/>
          <a:ext cx="2528956"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■更新後の方式を選択し、以降の黄色セルに情報を入力してください。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217635</xdr:colOff>
      <xdr:row>320</xdr:row>
      <xdr:rowOff>15875</xdr:rowOff>
    </xdr:from>
    <xdr:to>
      <xdr:col>14</xdr:col>
      <xdr:colOff>515110</xdr:colOff>
      <xdr:row>324</xdr:row>
      <xdr:rowOff>181016</xdr:rowOff>
    </xdr:to>
    <xdr:cxnSp macro="">
      <xdr:nvCxnSpPr>
        <xdr:cNvPr id="595" name="直線矢印コネクタ 594">
          <a:extLst>
            <a:ext uri="{FF2B5EF4-FFF2-40B4-BE49-F238E27FC236}">
              <a16:creationId xmlns:a16="http://schemas.microsoft.com/office/drawing/2014/main" id="{5F0BF3EF-8E24-4DFC-B329-85B990ED0E96}"/>
            </a:ext>
          </a:extLst>
        </xdr:cNvPr>
        <xdr:cNvCxnSpPr>
          <a:cxnSpLocks/>
          <a:stCxn id="594" idx="2"/>
          <a:endCxn id="593" idx="7"/>
        </xdr:cNvCxnSpPr>
      </xdr:nvCxnSpPr>
      <xdr:spPr>
        <a:xfrm flipH="1">
          <a:off x="9685485" y="79130525"/>
          <a:ext cx="964225" cy="116526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20</xdr:col>
      <xdr:colOff>19050</xdr:colOff>
      <xdr:row>325</xdr:row>
      <xdr:rowOff>140805</xdr:rowOff>
    </xdr:from>
    <xdr:to>
      <xdr:col>21</xdr:col>
      <xdr:colOff>28575</xdr:colOff>
      <xdr:row>325</xdr:row>
      <xdr:rowOff>483963</xdr:rowOff>
    </xdr:to>
    <xdr:sp macro="" textlink="">
      <xdr:nvSpPr>
        <xdr:cNvPr id="599" name="楕円 598">
          <a:extLst>
            <a:ext uri="{FF2B5EF4-FFF2-40B4-BE49-F238E27FC236}">
              <a16:creationId xmlns:a16="http://schemas.microsoft.com/office/drawing/2014/main" id="{5AE12858-B294-4DD3-BBA0-18D40A7ED522}"/>
            </a:ext>
          </a:extLst>
        </xdr:cNvPr>
        <xdr:cNvSpPr/>
      </xdr:nvSpPr>
      <xdr:spPr>
        <a:xfrm>
          <a:off x="14554200" y="80484180"/>
          <a:ext cx="84772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324610</xdr:colOff>
      <xdr:row>325</xdr:row>
      <xdr:rowOff>483963</xdr:rowOff>
    </xdr:from>
    <xdr:to>
      <xdr:col>20</xdr:col>
      <xdr:colOff>442913</xdr:colOff>
      <xdr:row>327</xdr:row>
      <xdr:rowOff>84620</xdr:rowOff>
    </xdr:to>
    <xdr:cxnSp macro="">
      <xdr:nvCxnSpPr>
        <xdr:cNvPr id="600" name="直線矢印コネクタ 599">
          <a:extLst>
            <a:ext uri="{FF2B5EF4-FFF2-40B4-BE49-F238E27FC236}">
              <a16:creationId xmlns:a16="http://schemas.microsoft.com/office/drawing/2014/main" id="{C9FE1F6F-4569-4CF2-9E12-0D566F31B657}"/>
            </a:ext>
          </a:extLst>
        </xdr:cNvPr>
        <xdr:cNvCxnSpPr>
          <a:cxnSpLocks/>
          <a:stCxn id="601" idx="0"/>
          <a:endCxn id="599" idx="4"/>
        </xdr:cNvCxnSpPr>
      </xdr:nvCxnSpPr>
      <xdr:spPr>
        <a:xfrm flipV="1">
          <a:off x="13097635" y="80827338"/>
          <a:ext cx="1880428" cy="43885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382519</xdr:colOff>
      <xdr:row>327</xdr:row>
      <xdr:rowOff>87795</xdr:rowOff>
    </xdr:from>
    <xdr:to>
      <xdr:col>19</xdr:col>
      <xdr:colOff>482600</xdr:colOff>
      <xdr:row>330</xdr:row>
      <xdr:rowOff>82550</xdr:rowOff>
    </xdr:to>
    <xdr:sp macro="" textlink="">
      <xdr:nvSpPr>
        <xdr:cNvPr id="601" name="テキスト ボックス 600">
          <a:extLst>
            <a:ext uri="{FF2B5EF4-FFF2-40B4-BE49-F238E27FC236}">
              <a16:creationId xmlns:a16="http://schemas.microsoft.com/office/drawing/2014/main" id="{8D7A3CDE-9F57-41FB-9E8B-0CDFE8310BDF}"/>
            </a:ext>
          </a:extLst>
        </xdr:cNvPr>
        <xdr:cNvSpPr txBox="1"/>
      </xdr:nvSpPr>
      <xdr:spPr>
        <a:xfrm>
          <a:off x="11831569" y="81269370"/>
          <a:ext cx="2528956" cy="6805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■更新後に想定する平均負荷率を入力してください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639694</xdr:colOff>
      <xdr:row>327</xdr:row>
      <xdr:rowOff>84620</xdr:rowOff>
    </xdr:from>
    <xdr:to>
      <xdr:col>24</xdr:col>
      <xdr:colOff>600075</xdr:colOff>
      <xdr:row>332</xdr:row>
      <xdr:rowOff>177800</xdr:rowOff>
    </xdr:to>
    <xdr:sp macro="" textlink="">
      <xdr:nvSpPr>
        <xdr:cNvPr id="604" name="テキスト ボックス 603">
          <a:extLst>
            <a:ext uri="{FF2B5EF4-FFF2-40B4-BE49-F238E27FC236}">
              <a16:creationId xmlns:a16="http://schemas.microsoft.com/office/drawing/2014/main" id="{2109A66B-7050-4B2A-A3C6-F5490E822AA0}"/>
            </a:ext>
          </a:extLst>
        </xdr:cNvPr>
        <xdr:cNvSpPr txBox="1"/>
      </xdr:nvSpPr>
      <xdr:spPr>
        <a:xfrm>
          <a:off x="14517619" y="81266195"/>
          <a:ext cx="4560956" cy="123618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■更新後に想定するエネルギー使用量の改善率を踏まえた係数を入力してください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例）更新前と比較して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エネルギー使用量が</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％削減される省エネ機器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1795</xdr:colOff>
      <xdr:row>325</xdr:row>
      <xdr:rowOff>153505</xdr:rowOff>
    </xdr:from>
    <xdr:to>
      <xdr:col>25</xdr:col>
      <xdr:colOff>19050</xdr:colOff>
      <xdr:row>325</xdr:row>
      <xdr:rowOff>496663</xdr:rowOff>
    </xdr:to>
    <xdr:sp macro="" textlink="">
      <xdr:nvSpPr>
        <xdr:cNvPr id="605" name="楕円 604">
          <a:extLst>
            <a:ext uri="{FF2B5EF4-FFF2-40B4-BE49-F238E27FC236}">
              <a16:creationId xmlns:a16="http://schemas.microsoft.com/office/drawing/2014/main" id="{7B849908-1D73-48DB-B5A1-51574DFF17BD}"/>
            </a:ext>
          </a:extLst>
        </xdr:cNvPr>
        <xdr:cNvSpPr/>
      </xdr:nvSpPr>
      <xdr:spPr>
        <a:xfrm>
          <a:off x="18480295" y="80496880"/>
          <a:ext cx="68400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476250</xdr:colOff>
      <xdr:row>325</xdr:row>
      <xdr:rowOff>446409</xdr:rowOff>
    </xdr:from>
    <xdr:to>
      <xdr:col>24</xdr:col>
      <xdr:colOff>101965</xdr:colOff>
      <xdr:row>327</xdr:row>
      <xdr:rowOff>85725</xdr:rowOff>
    </xdr:to>
    <xdr:cxnSp macro="">
      <xdr:nvCxnSpPr>
        <xdr:cNvPr id="606" name="直線矢印コネクタ 605">
          <a:extLst>
            <a:ext uri="{FF2B5EF4-FFF2-40B4-BE49-F238E27FC236}">
              <a16:creationId xmlns:a16="http://schemas.microsoft.com/office/drawing/2014/main" id="{84122CD0-9433-41F4-AA8E-428B1F0C03FA}"/>
            </a:ext>
          </a:extLst>
        </xdr:cNvPr>
        <xdr:cNvCxnSpPr>
          <a:cxnSpLocks/>
          <a:endCxn id="605" idx="3"/>
        </xdr:cNvCxnSpPr>
      </xdr:nvCxnSpPr>
      <xdr:spPr>
        <a:xfrm flipV="1">
          <a:off x="18297525" y="80789784"/>
          <a:ext cx="282940" cy="47751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426427</xdr:colOff>
      <xdr:row>2</xdr:row>
      <xdr:rowOff>36635</xdr:rowOff>
    </xdr:from>
    <xdr:to>
      <xdr:col>12</xdr:col>
      <xdr:colOff>102577</xdr:colOff>
      <xdr:row>6</xdr:row>
      <xdr:rowOff>161192</xdr:rowOff>
    </xdr:to>
    <xdr:cxnSp macro="">
      <xdr:nvCxnSpPr>
        <xdr:cNvPr id="3" name="直線矢印コネクタ 2">
          <a:extLst>
            <a:ext uri="{FF2B5EF4-FFF2-40B4-BE49-F238E27FC236}">
              <a16:creationId xmlns:a16="http://schemas.microsoft.com/office/drawing/2014/main" id="{E325DEE1-EF33-15D5-9E20-20D2E0B64F12}"/>
            </a:ext>
          </a:extLst>
        </xdr:cNvPr>
        <xdr:cNvCxnSpPr/>
      </xdr:nvCxnSpPr>
      <xdr:spPr>
        <a:xfrm flipH="1">
          <a:off x="8903677" y="659423"/>
          <a:ext cx="489438" cy="10917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430822</xdr:colOff>
      <xdr:row>0</xdr:row>
      <xdr:rowOff>130419</xdr:rowOff>
    </xdr:from>
    <xdr:to>
      <xdr:col>20</xdr:col>
      <xdr:colOff>771525</xdr:colOff>
      <xdr:row>2</xdr:row>
      <xdr:rowOff>229333</xdr:rowOff>
    </xdr:to>
    <xdr:sp macro="" textlink="">
      <xdr:nvSpPr>
        <xdr:cNvPr id="5" name="テキスト ボックス 4">
          <a:extLst>
            <a:ext uri="{FF2B5EF4-FFF2-40B4-BE49-F238E27FC236}">
              <a16:creationId xmlns:a16="http://schemas.microsoft.com/office/drawing/2014/main" id="{63A20D2F-B1BA-40DF-BD50-2D128874B359}"/>
            </a:ext>
          </a:extLst>
        </xdr:cNvPr>
        <xdr:cNvSpPr txBox="1"/>
      </xdr:nvSpPr>
      <xdr:spPr>
        <a:xfrm>
          <a:off x="8869972" y="130419"/>
          <a:ext cx="7817828" cy="71803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電気自動車へ更新する場合</a:t>
          </a:r>
          <a:r>
            <a:rPr kumimoji="1" lang="ja-JP" altLang="en-US" sz="1100">
              <a:latin typeface="ＭＳ Ｐゴシック" panose="020B0600070205080204" pitchFamily="50" charset="-128"/>
              <a:ea typeface="ＭＳ Ｐゴシック" panose="020B0600070205080204" pitchFamily="50" charset="-128"/>
            </a:rPr>
            <a:t>、下表を参考に、該当する電力消費係数　</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0.15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0.22 </a:t>
          </a:r>
          <a:r>
            <a:rPr kumimoji="1" lang="ja-JP" altLang="en-US" sz="1100">
              <a:latin typeface="ＭＳ Ｐゴシック" panose="020B0600070205080204" pitchFamily="50" charset="-128"/>
              <a:ea typeface="ＭＳ Ｐゴシック" panose="020B0600070205080204" pitchFamily="50" charset="-128"/>
            </a:rPr>
            <a:t>のうちのいずれかを入力してください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■電気自動車のカタログの電力量消費率を参照する場合、</a:t>
          </a:r>
          <a:r>
            <a:rPr kumimoji="1" lang="en-US" altLang="ja-JP" sz="1100">
              <a:latin typeface="ＭＳ Ｐゴシック" panose="020B0600070205080204" pitchFamily="50" charset="-128"/>
              <a:ea typeface="ＭＳ Ｐゴシック" panose="020B0600070205080204" pitchFamily="50" charset="-128"/>
            </a:rPr>
            <a:t>1/1000</a:t>
          </a:r>
          <a:r>
            <a:rPr kumimoji="1" lang="ja-JP" altLang="en-US" sz="1100">
              <a:latin typeface="ＭＳ Ｐゴシック" panose="020B0600070205080204" pitchFamily="50" charset="-128"/>
              <a:ea typeface="ＭＳ Ｐゴシック" panose="020B0600070205080204" pitchFamily="50" charset="-128"/>
            </a:rPr>
            <a:t>を乗じた値を入力してください</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（例） </a:t>
          </a:r>
          <a:r>
            <a:rPr kumimoji="1" lang="en-US" altLang="ja-JP" sz="1100">
              <a:latin typeface="ＭＳ Ｐゴシック" panose="020B0600070205080204" pitchFamily="50" charset="-128"/>
              <a:ea typeface="ＭＳ Ｐゴシック" panose="020B0600070205080204" pitchFamily="50" charset="-128"/>
            </a:rPr>
            <a:t>WLTC</a:t>
          </a:r>
          <a:r>
            <a:rPr kumimoji="1" lang="ja-JP" altLang="en-US" sz="1100">
              <a:latin typeface="ＭＳ Ｐゴシック" panose="020B0600070205080204" pitchFamily="50" charset="-128"/>
              <a:ea typeface="ＭＳ Ｐゴシック" panose="020B0600070205080204" pitchFamily="50" charset="-128"/>
            </a:rPr>
            <a:t>モード　</a:t>
          </a:r>
          <a:r>
            <a:rPr kumimoji="1" lang="en-US" altLang="ja-JP" sz="1100">
              <a:latin typeface="ＭＳ Ｐゴシック" panose="020B0600070205080204" pitchFamily="50" charset="-128"/>
              <a:ea typeface="ＭＳ Ｐゴシック" panose="020B0600070205080204" pitchFamily="50" charset="-128"/>
            </a:rPr>
            <a:t>130Wh/km</a:t>
          </a:r>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0.13</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548</xdr:colOff>
      <xdr:row>24</xdr:row>
      <xdr:rowOff>132132</xdr:rowOff>
    </xdr:from>
    <xdr:to>
      <xdr:col>15</xdr:col>
      <xdr:colOff>234950</xdr:colOff>
      <xdr:row>32</xdr:row>
      <xdr:rowOff>20483</xdr:rowOff>
    </xdr:to>
    <xdr:sp macro="" textlink="">
      <xdr:nvSpPr>
        <xdr:cNvPr id="2" name="テキスト ボックス 1">
          <a:extLst>
            <a:ext uri="{FF2B5EF4-FFF2-40B4-BE49-F238E27FC236}">
              <a16:creationId xmlns:a16="http://schemas.microsoft.com/office/drawing/2014/main" id="{4FAD99DC-6F61-FC25-8668-B2DA438E7DB0}"/>
            </a:ext>
          </a:extLst>
        </xdr:cNvPr>
        <xdr:cNvSpPr txBox="1"/>
      </xdr:nvSpPr>
      <xdr:spPr>
        <a:xfrm>
          <a:off x="8357967" y="6441164"/>
          <a:ext cx="3429886" cy="1772867"/>
        </a:xfrm>
        <a:prstGeom prst="rect">
          <a:avLst/>
        </a:prstGeom>
        <a:solidFill>
          <a:schemeClr val="lt1"/>
        </a:solidFill>
        <a:ln w="127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0000FF"/>
              </a:solidFill>
              <a:latin typeface="ＭＳ Ｐゴシック" panose="020B0600070205080204" pitchFamily="50" charset="-128"/>
              <a:ea typeface="ＭＳ Ｐゴシック" panose="020B0600070205080204" pitchFamily="50" charset="-128"/>
            </a:rPr>
            <a:t>【FIT</a:t>
          </a:r>
          <a:r>
            <a:rPr kumimoji="1" lang="ja-JP" altLang="en-US" sz="1100">
              <a:solidFill>
                <a:srgbClr val="0000FF"/>
              </a:solidFill>
              <a:latin typeface="ＭＳ Ｐゴシック" panose="020B0600070205080204" pitchFamily="50" charset="-128"/>
              <a:ea typeface="ＭＳ Ｐゴシック" panose="020B0600070205080204" pitchFamily="50" charset="-128"/>
            </a:rPr>
            <a:t>認定要件</a:t>
          </a:r>
          <a:r>
            <a:rPr kumimoji="1" lang="en-US" altLang="ja-JP" sz="1100">
              <a:solidFill>
                <a:srgbClr val="0000FF"/>
              </a:solidFill>
              <a:latin typeface="ＭＳ Ｐゴシック" panose="020B0600070205080204" pitchFamily="50" charset="-128"/>
              <a:ea typeface="ＭＳ Ｐゴシック" panose="020B0600070205080204" pitchFamily="50" charset="-128"/>
            </a:rPr>
            <a:t>】</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・システム容量</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地上設置を含む場合は計</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以上（同一敷地内）</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屋根設置のみは</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未満も可</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・自家消費率　</a:t>
          </a:r>
          <a:r>
            <a:rPr kumimoji="1" lang="en-US" altLang="ja-JP" sz="1100">
              <a:solidFill>
                <a:srgbClr val="0000FF"/>
              </a:solidFill>
              <a:latin typeface="ＭＳ Ｐゴシック" panose="020B0600070205080204" pitchFamily="50" charset="-128"/>
              <a:ea typeface="ＭＳ Ｐゴシック" panose="020B0600070205080204" pitchFamily="50" charset="-128"/>
            </a:rPr>
            <a:t>30%</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a:t>
          </a:r>
          <a:r>
            <a:rPr kumimoji="1" lang="en-US" altLang="ja-JP" sz="1100">
              <a:solidFill>
                <a:srgbClr val="0000FF"/>
              </a:solidFill>
              <a:latin typeface="ＭＳ Ｐゴシック" panose="020B0600070205080204" pitchFamily="50" charset="-128"/>
              <a:ea typeface="ＭＳ Ｐゴシック" panose="020B0600070205080204" pitchFamily="50" charset="-128"/>
            </a:rPr>
            <a:t>50kW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未満の場合）</a:t>
          </a:r>
        </a:p>
        <a:p>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53614</xdr:colOff>
      <xdr:row>19</xdr:row>
      <xdr:rowOff>14611</xdr:rowOff>
    </xdr:from>
    <xdr:to>
      <xdr:col>15</xdr:col>
      <xdr:colOff>409766</xdr:colOff>
      <xdr:row>19</xdr:row>
      <xdr:rowOff>233610</xdr:rowOff>
    </xdr:to>
    <xdr:sp macro="" textlink="">
      <xdr:nvSpPr>
        <xdr:cNvPr id="4" name="矢印: 左 3">
          <a:extLst>
            <a:ext uri="{FF2B5EF4-FFF2-40B4-BE49-F238E27FC236}">
              <a16:creationId xmlns:a16="http://schemas.microsoft.com/office/drawing/2014/main" id="{3BAB6177-F890-75CC-9DB7-180ACC583DB4}"/>
            </a:ext>
          </a:extLst>
        </xdr:cNvPr>
        <xdr:cNvSpPr/>
      </xdr:nvSpPr>
      <xdr:spPr>
        <a:xfrm>
          <a:off x="11606517" y="4879530"/>
          <a:ext cx="356152" cy="218999"/>
        </a:xfrm>
        <a:prstGeom prst="lef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11</xdr:col>
      <xdr:colOff>0</xdr:colOff>
      <xdr:row>22</xdr:row>
      <xdr:rowOff>85725</xdr:rowOff>
    </xdr:from>
    <xdr:to>
      <xdr:col>14</xdr:col>
      <xdr:colOff>536004</xdr:colOff>
      <xdr:row>24</xdr:row>
      <xdr:rowOff>123825</xdr:rowOff>
    </xdr:to>
    <xdr:sp macro="" textlink="">
      <xdr:nvSpPr>
        <xdr:cNvPr id="2" name="テキスト ボックス 1">
          <a:extLst>
            <a:ext uri="{FF2B5EF4-FFF2-40B4-BE49-F238E27FC236}">
              <a16:creationId xmlns:a16="http://schemas.microsoft.com/office/drawing/2014/main" id="{0532A9D9-2088-49B3-B220-5C3936AA9600}"/>
            </a:ext>
          </a:extLst>
        </xdr:cNvPr>
        <xdr:cNvSpPr txBox="1"/>
      </xdr:nvSpPr>
      <xdr:spPr>
        <a:xfrm>
          <a:off x="9334500" y="4657725"/>
          <a:ext cx="3460179" cy="514350"/>
        </a:xfrm>
        <a:prstGeom prst="rect">
          <a:avLst/>
        </a:prstGeom>
        <a:solidFill>
          <a:schemeClr val="lt1"/>
        </a:solidFill>
        <a:ln w="127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15514</xdr:colOff>
      <xdr:row>17</xdr:row>
      <xdr:rowOff>5086</xdr:rowOff>
    </xdr:from>
    <xdr:to>
      <xdr:col>15</xdr:col>
      <xdr:colOff>352616</xdr:colOff>
      <xdr:row>17</xdr:row>
      <xdr:rowOff>224085</xdr:rowOff>
    </xdr:to>
    <xdr:sp macro="" textlink="">
      <xdr:nvSpPr>
        <xdr:cNvPr id="6" name="矢印: 左 5">
          <a:extLst>
            <a:ext uri="{FF2B5EF4-FFF2-40B4-BE49-F238E27FC236}">
              <a16:creationId xmlns:a16="http://schemas.microsoft.com/office/drawing/2014/main" id="{443DC82F-13F3-46CB-9874-7AA31415A655}"/>
            </a:ext>
          </a:extLst>
        </xdr:cNvPr>
        <xdr:cNvSpPr/>
      </xdr:nvSpPr>
      <xdr:spPr>
        <a:xfrm>
          <a:off x="13588639" y="4338961"/>
          <a:ext cx="337102" cy="218999"/>
        </a:xfrm>
        <a:prstGeom prst="lef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447672</xdr:colOff>
      <xdr:row>2</xdr:row>
      <xdr:rowOff>19050</xdr:rowOff>
    </xdr:from>
    <xdr:to>
      <xdr:col>14</xdr:col>
      <xdr:colOff>400049</xdr:colOff>
      <xdr:row>6</xdr:row>
      <xdr:rowOff>152400</xdr:rowOff>
    </xdr:to>
    <xdr:sp macro="" textlink="">
      <xdr:nvSpPr>
        <xdr:cNvPr id="3" name="テキスト ボックス 2">
          <a:extLst>
            <a:ext uri="{FF2B5EF4-FFF2-40B4-BE49-F238E27FC236}">
              <a16:creationId xmlns:a16="http://schemas.microsoft.com/office/drawing/2014/main" id="{CEFA53FF-9CA3-5A23-23DF-56B6221811A0}"/>
            </a:ext>
          </a:extLst>
        </xdr:cNvPr>
        <xdr:cNvSpPr txBox="1"/>
      </xdr:nvSpPr>
      <xdr:spPr>
        <a:xfrm>
          <a:off x="5467347" y="638175"/>
          <a:ext cx="5619752" cy="10858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注意事項</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 </a:t>
          </a:r>
          <a:r>
            <a:rPr kumimoji="1" lang="ja-JP" altLang="en-US" sz="1100">
              <a:latin typeface="ＭＳ Ｐゴシック" panose="020B0600070205080204" pitchFamily="50" charset="-128"/>
              <a:ea typeface="ＭＳ Ｐゴシック" panose="020B0600070205080204" pitchFamily="50" charset="-128"/>
            </a:rPr>
            <a:t>蓄電容量 ： 参考値として記載（計算には使用しません）</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2. </a:t>
          </a:r>
          <a:r>
            <a:rPr kumimoji="1" lang="ja-JP" altLang="en-US" sz="1100">
              <a:latin typeface="ＭＳ Ｐゴシック" panose="020B0600070205080204" pitchFamily="50" charset="-128"/>
              <a:ea typeface="ＭＳ Ｐゴシック" panose="020B0600070205080204" pitchFamily="50" charset="-128"/>
            </a:rPr>
            <a:t>蓄電量に占める再エネの割合 ： 充電電力のうち、太陽光などの自家発電で賄える割合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 </a:t>
          </a:r>
          <a:r>
            <a:rPr kumimoji="1" lang="ja-JP" altLang="en-US" sz="1100">
              <a:latin typeface="ＭＳ Ｐゴシック" panose="020B0600070205080204" pitchFamily="50" charset="-128"/>
              <a:ea typeface="ＭＳ Ｐゴシック" panose="020B0600070205080204" pitchFamily="50" charset="-128"/>
            </a:rPr>
            <a:t>放電量 ： </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日あたりの平均放電量（運用実績や計画に基づいて入力）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4. </a:t>
          </a:r>
          <a:r>
            <a:rPr kumimoji="1" lang="ja-JP" altLang="en-US" sz="1100">
              <a:latin typeface="ＭＳ Ｐゴシック" panose="020B0600070205080204" pitchFamily="50" charset="-128"/>
              <a:ea typeface="ＭＳ Ｐゴシック" panose="020B0600070205080204" pitchFamily="50" charset="-128"/>
            </a:rPr>
            <a:t>放電日数 ： 年間で蓄電池から放電を行う日数（年間稼働計画から設定）</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47625</xdr:colOff>
      <xdr:row>8</xdr:row>
      <xdr:rowOff>152400</xdr:rowOff>
    </xdr:from>
    <xdr:to>
      <xdr:col>12</xdr:col>
      <xdr:colOff>371475</xdr:colOff>
      <xdr:row>9</xdr:row>
      <xdr:rowOff>202275</xdr:rowOff>
    </xdr:to>
    <xdr:sp macro="" textlink="">
      <xdr:nvSpPr>
        <xdr:cNvPr id="8" name="テキスト ボックス 7">
          <a:extLst>
            <a:ext uri="{FF2B5EF4-FFF2-40B4-BE49-F238E27FC236}">
              <a16:creationId xmlns:a16="http://schemas.microsoft.com/office/drawing/2014/main" id="{405A9A45-333F-434F-B49F-884B12935BA3}"/>
            </a:ext>
          </a:extLst>
        </xdr:cNvPr>
        <xdr:cNvSpPr txBox="1"/>
      </xdr:nvSpPr>
      <xdr:spPr>
        <a:xfrm>
          <a:off x="4143375" y="2200275"/>
          <a:ext cx="5181600" cy="2880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 燃料種類がガスの場合、定格消費ガス量（㎥）に</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を乗じ、</a:t>
          </a:r>
          <a:r>
            <a:rPr kumimoji="1" lang="en-US" altLang="ja-JP" sz="1100">
              <a:latin typeface="ＭＳ Ｐゴシック" panose="020B0600070205080204" pitchFamily="50" charset="-128"/>
              <a:ea typeface="ＭＳ Ｐゴシック" panose="020B0600070205080204" pitchFamily="50" charset="-128"/>
            </a:rPr>
            <a:t>L</a:t>
          </a:r>
          <a:r>
            <a:rPr kumimoji="1" lang="ja-JP" altLang="en-US" sz="1100">
              <a:latin typeface="ＭＳ Ｐゴシック" panose="020B0600070205080204" pitchFamily="50" charset="-128"/>
              <a:ea typeface="ＭＳ Ｐゴシック" panose="020B0600070205080204" pitchFamily="50" charset="-128"/>
            </a:rPr>
            <a:t>換算してください。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514350</xdr:colOff>
      <xdr:row>9</xdr:row>
      <xdr:rowOff>58275</xdr:rowOff>
    </xdr:from>
    <xdr:to>
      <xdr:col>6</xdr:col>
      <xdr:colOff>47625</xdr:colOff>
      <xdr:row>11</xdr:row>
      <xdr:rowOff>219075</xdr:rowOff>
    </xdr:to>
    <xdr:cxnSp macro="">
      <xdr:nvCxnSpPr>
        <xdr:cNvPr id="10" name="直線矢印コネクタ 9">
          <a:extLst>
            <a:ext uri="{FF2B5EF4-FFF2-40B4-BE49-F238E27FC236}">
              <a16:creationId xmlns:a16="http://schemas.microsoft.com/office/drawing/2014/main" id="{D8C02857-C65F-C4B0-FB21-4E6940CA86D9}"/>
            </a:ext>
          </a:extLst>
        </xdr:cNvPr>
        <xdr:cNvCxnSpPr>
          <a:stCxn id="8" idx="1"/>
        </xdr:cNvCxnSpPr>
      </xdr:nvCxnSpPr>
      <xdr:spPr>
        <a:xfrm flipH="1">
          <a:off x="3800475" y="2344275"/>
          <a:ext cx="342900" cy="6370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9</xdr:col>
      <xdr:colOff>404586</xdr:colOff>
      <xdr:row>2</xdr:row>
      <xdr:rowOff>129117</xdr:rowOff>
    </xdr:from>
    <xdr:ext cx="6563976" cy="992579"/>
    <xdr:sp macro="" textlink="">
      <xdr:nvSpPr>
        <xdr:cNvPr id="2" name="テキスト ボックス 1">
          <a:extLst>
            <a:ext uri="{FF2B5EF4-FFF2-40B4-BE49-F238E27FC236}">
              <a16:creationId xmlns:a16="http://schemas.microsoft.com/office/drawing/2014/main" id="{3059C9D3-529F-4DA6-8D25-A9F2763610B1}"/>
            </a:ext>
          </a:extLst>
        </xdr:cNvPr>
        <xdr:cNvSpPr txBox="1"/>
      </xdr:nvSpPr>
      <xdr:spPr>
        <a:xfrm>
          <a:off x="7766050" y="129117"/>
          <a:ext cx="6563976" cy="992579"/>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年分の使用量の実績を入力してください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（新規登録は下段に直近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b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b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（簡易診断シートの活用のみの場合も下段に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年分で試算可能）</a:t>
          </a:r>
        </a:p>
      </xdr:txBody>
    </xdr:sp>
    <xdr:clientData/>
  </xdr:oneCellAnchor>
  <xdr:twoCellAnchor>
    <xdr:from>
      <xdr:col>0</xdr:col>
      <xdr:colOff>76196</xdr:colOff>
      <xdr:row>6</xdr:row>
      <xdr:rowOff>47625</xdr:rowOff>
    </xdr:from>
    <xdr:to>
      <xdr:col>0</xdr:col>
      <xdr:colOff>574669</xdr:colOff>
      <xdr:row>20</xdr:row>
      <xdr:rowOff>228602</xdr:rowOff>
    </xdr:to>
    <xdr:sp macro="" textlink="">
      <xdr:nvSpPr>
        <xdr:cNvPr id="11" name="矢印: 上向き折線 10">
          <a:extLst>
            <a:ext uri="{FF2B5EF4-FFF2-40B4-BE49-F238E27FC236}">
              <a16:creationId xmlns:a16="http://schemas.microsoft.com/office/drawing/2014/main" id="{D87B75C5-BDFA-A577-2010-A487C02F7A52}"/>
            </a:ext>
          </a:extLst>
        </xdr:cNvPr>
        <xdr:cNvSpPr/>
      </xdr:nvSpPr>
      <xdr:spPr>
        <a:xfrm rot="5400000">
          <a:off x="-2108206" y="3184527"/>
          <a:ext cx="4867277" cy="498473"/>
        </a:xfrm>
        <a:prstGeom prst="bentUpArrow">
          <a:avLst>
            <a:gd name="adj1" fmla="val 32643"/>
            <a:gd name="adj2" fmla="val 46974"/>
            <a:gd name="adj3" fmla="val 40287"/>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67732</xdr:colOff>
      <xdr:row>2</xdr:row>
      <xdr:rowOff>46649</xdr:rowOff>
    </xdr:from>
    <xdr:to>
      <xdr:col>9</xdr:col>
      <xdr:colOff>361950</xdr:colOff>
      <xdr:row>6</xdr:row>
      <xdr:rowOff>142875</xdr:rowOff>
    </xdr:to>
    <xdr:grpSp>
      <xdr:nvGrpSpPr>
        <xdr:cNvPr id="12" name="グループ化 11">
          <a:extLst>
            <a:ext uri="{FF2B5EF4-FFF2-40B4-BE49-F238E27FC236}">
              <a16:creationId xmlns:a16="http://schemas.microsoft.com/office/drawing/2014/main" id="{240033CF-BAE5-4F1C-4922-F7468BE56DD5}"/>
            </a:ext>
          </a:extLst>
        </xdr:cNvPr>
        <xdr:cNvGrpSpPr/>
      </xdr:nvGrpSpPr>
      <xdr:grpSpPr>
        <a:xfrm>
          <a:off x="64557" y="49824"/>
          <a:ext cx="7658857" cy="1069590"/>
          <a:chOff x="620182" y="49824"/>
          <a:chExt cx="7634818" cy="1042376"/>
        </a:xfrm>
      </xdr:grpSpPr>
      <xdr:sp macro="" textlink="">
        <xdr:nvSpPr>
          <xdr:cNvPr id="7" name="テキスト ボックス 6">
            <a:extLst>
              <a:ext uri="{FF2B5EF4-FFF2-40B4-BE49-F238E27FC236}">
                <a16:creationId xmlns:a16="http://schemas.microsoft.com/office/drawing/2014/main" id="{EFA7780E-B4E8-4DCC-98A1-363A5E221EB7}"/>
              </a:ext>
            </a:extLst>
          </xdr:cNvPr>
          <xdr:cNvSpPr txBox="1"/>
        </xdr:nvSpPr>
        <xdr:spPr>
          <a:xfrm>
            <a:off x="620182" y="49824"/>
            <a:ext cx="7634818" cy="1042376"/>
          </a:xfrm>
          <a:prstGeom prst="rect">
            <a:avLst/>
          </a:prstGeom>
          <a:solidFill>
            <a:schemeClr val="accent3">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500"/>
              </a:lnSpc>
            </a:pP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■開始年月の数値を入力してください</a:t>
            </a:r>
            <a:endPar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ja-JP" sz="1100">
                <a:solidFill>
                  <a:schemeClr val="dk1"/>
                </a:solidFill>
                <a:effectLst/>
                <a:latin typeface="+mn-lt"/>
                <a:ea typeface="+mn-ea"/>
                <a:cs typeface="+mn-cs"/>
              </a:rPr>
              <a:t>（例）令和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月の場合</a:t>
            </a:r>
            <a:endParaRPr lang="ja-JP" altLang="ja-JP">
              <a:effectLst/>
            </a:endParaRPr>
          </a:p>
          <a:p>
            <a:pPr>
              <a:lnSpc>
                <a:spcPts val="1500"/>
              </a:lnSpc>
            </a:pPr>
            <a:r>
              <a:rPr kumimoji="1" lang="ja-JP" altLang="ja-JP" sz="1100">
                <a:solidFill>
                  <a:schemeClr val="dk1"/>
                </a:solidFill>
                <a:effectLst/>
                <a:latin typeface="+mn-lt"/>
                <a:ea typeface="+mn-ea"/>
                <a:cs typeface="+mn-cs"/>
              </a:rPr>
              <a:t>　　　上段に「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」と入力　→　自動で令和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年と表記される</a:t>
            </a:r>
            <a:endParaRPr lang="ja-JP" altLang="ja-JP">
              <a:effectLst/>
            </a:endParaRPr>
          </a:p>
          <a:p>
            <a:pPr>
              <a:lnSpc>
                <a:spcPts val="1500"/>
              </a:lnSpc>
            </a:pPr>
            <a:r>
              <a:rPr kumimoji="1" lang="ja-JP" altLang="ja-JP" sz="1100">
                <a:solidFill>
                  <a:schemeClr val="dk1"/>
                </a:solidFill>
                <a:effectLst/>
                <a:latin typeface="+mn-lt"/>
                <a:ea typeface="+mn-ea"/>
                <a:cs typeface="+mn-cs"/>
              </a:rPr>
              <a:t>　　　下段に「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」と入力　→　自動で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月と表記される</a:t>
            </a:r>
            <a:endParaRPr lang="ja-JP" altLang="ja-JP">
              <a:effectLst/>
            </a:endParaRPr>
          </a:p>
        </xdr:txBody>
      </xdr:sp>
      <xdr:pic>
        <xdr:nvPicPr>
          <xdr:cNvPr id="6" name="図 5">
            <a:extLst>
              <a:ext uri="{FF2B5EF4-FFF2-40B4-BE49-F238E27FC236}">
                <a16:creationId xmlns:a16="http://schemas.microsoft.com/office/drawing/2014/main" id="{21B96199-FFEF-78CA-9172-BE8C72972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0" y="273050"/>
            <a:ext cx="3416300" cy="65722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oneCellAnchor>
    <xdr:from>
      <xdr:col>11</xdr:col>
      <xdr:colOff>0</xdr:colOff>
      <xdr:row>2</xdr:row>
      <xdr:rowOff>0</xdr:rowOff>
    </xdr:from>
    <xdr:ext cx="4400948" cy="692497"/>
    <xdr:sp macro="" textlink="">
      <xdr:nvSpPr>
        <xdr:cNvPr id="2" name="テキスト ボックス 1">
          <a:extLst>
            <a:ext uri="{FF2B5EF4-FFF2-40B4-BE49-F238E27FC236}">
              <a16:creationId xmlns:a16="http://schemas.microsoft.com/office/drawing/2014/main" id="{8B1946B9-AFB1-42B8-B082-F1D8BEBB9DB6}"/>
            </a:ext>
          </a:extLst>
        </xdr:cNvPr>
        <xdr:cNvSpPr txBox="1"/>
      </xdr:nvSpPr>
      <xdr:spPr>
        <a:xfrm>
          <a:off x="8410575" y="590550"/>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oneCellAnchor>
    <xdr:from>
      <xdr:col>11</xdr:col>
      <xdr:colOff>0</xdr:colOff>
      <xdr:row>17</xdr:row>
      <xdr:rowOff>0</xdr:rowOff>
    </xdr:from>
    <xdr:ext cx="4400948" cy="692497"/>
    <xdr:sp macro="" textlink="">
      <xdr:nvSpPr>
        <xdr:cNvPr id="3" name="テキスト ボックス 2">
          <a:extLst>
            <a:ext uri="{FF2B5EF4-FFF2-40B4-BE49-F238E27FC236}">
              <a16:creationId xmlns:a16="http://schemas.microsoft.com/office/drawing/2014/main" id="{EC60E306-E89F-4640-B30C-864A4A51BCEC}"/>
            </a:ext>
          </a:extLst>
        </xdr:cNvPr>
        <xdr:cNvSpPr txBox="1"/>
      </xdr:nvSpPr>
      <xdr:spPr>
        <a:xfrm>
          <a:off x="8410575" y="6391275"/>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9</xdr:col>
      <xdr:colOff>0</xdr:colOff>
      <xdr:row>2</xdr:row>
      <xdr:rowOff>207065</xdr:rowOff>
    </xdr:from>
    <xdr:ext cx="4400948" cy="692497"/>
    <xdr:sp macro="" textlink="">
      <xdr:nvSpPr>
        <xdr:cNvPr id="2" name="テキスト ボックス 1">
          <a:extLst>
            <a:ext uri="{FF2B5EF4-FFF2-40B4-BE49-F238E27FC236}">
              <a16:creationId xmlns:a16="http://schemas.microsoft.com/office/drawing/2014/main" id="{0512F093-BC7F-4151-8DE2-902630A0CD7B}"/>
            </a:ext>
          </a:extLst>
        </xdr:cNvPr>
        <xdr:cNvSpPr txBox="1"/>
      </xdr:nvSpPr>
      <xdr:spPr>
        <a:xfrm>
          <a:off x="6510130" y="646043"/>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17</xdr:col>
      <xdr:colOff>422180</xdr:colOff>
      <xdr:row>5</xdr:row>
      <xdr:rowOff>95250</xdr:rowOff>
    </xdr:from>
    <xdr:to>
      <xdr:col>28</xdr:col>
      <xdr:colOff>194942</xdr:colOff>
      <xdr:row>18</xdr:row>
      <xdr:rowOff>298451</xdr:rowOff>
    </xdr:to>
    <xdr:sp macro="" textlink="">
      <xdr:nvSpPr>
        <xdr:cNvPr id="11" name="正方形/長方形 10">
          <a:extLst>
            <a:ext uri="{FF2B5EF4-FFF2-40B4-BE49-F238E27FC236}">
              <a16:creationId xmlns:a16="http://schemas.microsoft.com/office/drawing/2014/main" id="{1E6EA0D7-FE0D-4FC2-A071-1A553A778611}"/>
            </a:ext>
          </a:extLst>
        </xdr:cNvPr>
        <xdr:cNvSpPr/>
      </xdr:nvSpPr>
      <xdr:spPr>
        <a:xfrm>
          <a:off x="11356880" y="1752600"/>
          <a:ext cx="8240487" cy="3270251"/>
        </a:xfrm>
        <a:prstGeom prst="rect">
          <a:avLst/>
        </a:prstGeom>
        <a:solidFill>
          <a:schemeClr val="bg1"/>
        </a:solidFill>
        <a:ln w="9525">
          <a:solidFill>
            <a:schemeClr val="bg1">
              <a:lumMod val="85000"/>
            </a:schemeClr>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17</xdr:col>
      <xdr:colOff>420221</xdr:colOff>
      <xdr:row>22</xdr:row>
      <xdr:rowOff>47625</xdr:rowOff>
    </xdr:from>
    <xdr:to>
      <xdr:col>31</xdr:col>
      <xdr:colOff>476250</xdr:colOff>
      <xdr:row>49</xdr:row>
      <xdr:rowOff>85725</xdr:rowOff>
    </xdr:to>
    <xdr:sp macro="" textlink="">
      <xdr:nvSpPr>
        <xdr:cNvPr id="2" name="正方形/長方形 1">
          <a:extLst>
            <a:ext uri="{FF2B5EF4-FFF2-40B4-BE49-F238E27FC236}">
              <a16:creationId xmlns:a16="http://schemas.microsoft.com/office/drawing/2014/main" id="{064D963F-A4BA-49D7-8255-C375ABC23C2B}"/>
            </a:ext>
          </a:extLst>
        </xdr:cNvPr>
        <xdr:cNvSpPr/>
      </xdr:nvSpPr>
      <xdr:spPr>
        <a:xfrm>
          <a:off x="11354921" y="5743575"/>
          <a:ext cx="10866904" cy="6477000"/>
        </a:xfrm>
        <a:prstGeom prst="rect">
          <a:avLst/>
        </a:prstGeom>
        <a:solidFill>
          <a:schemeClr val="bg1"/>
        </a:solidFill>
        <a:ln w="9525">
          <a:solidFill>
            <a:schemeClr val="bg1">
              <a:lumMod val="85000"/>
            </a:schemeClr>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0</xdr:colOff>
      <xdr:row>0</xdr:row>
      <xdr:rowOff>0</xdr:rowOff>
    </xdr:from>
    <xdr:to>
      <xdr:col>32</xdr:col>
      <xdr:colOff>0</xdr:colOff>
      <xdr:row>0</xdr:row>
      <xdr:rowOff>600205</xdr:rowOff>
    </xdr:to>
    <xdr:sp macro="" textlink="">
      <xdr:nvSpPr>
        <xdr:cNvPr id="5" name="テキスト ボックス 4">
          <a:extLst>
            <a:ext uri="{FF2B5EF4-FFF2-40B4-BE49-F238E27FC236}">
              <a16:creationId xmlns:a16="http://schemas.microsoft.com/office/drawing/2014/main" id="{043F1D5C-630C-4C9F-81A0-628BBF617874}"/>
            </a:ext>
          </a:extLst>
        </xdr:cNvPr>
        <xdr:cNvSpPr txBox="1"/>
      </xdr:nvSpPr>
      <xdr:spPr>
        <a:xfrm>
          <a:off x="0" y="0"/>
          <a:ext cx="22526625" cy="600205"/>
        </a:xfrm>
        <a:prstGeom prst="rect">
          <a:avLst/>
        </a:prstGeom>
        <a:solidFill>
          <a:srgbClr val="0070C0"/>
        </a:solid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400">
              <a:solidFill>
                <a:schemeClr val="bg1"/>
              </a:solidFill>
              <a:latin typeface="Meiryo UI" panose="020B0604030504040204" pitchFamily="50" charset="-128"/>
              <a:ea typeface="Meiryo UI" panose="020B0604030504040204" pitchFamily="50" charset="-128"/>
            </a:rPr>
            <a:t>　　</a:t>
          </a:r>
          <a:r>
            <a:rPr kumimoji="1" lang="ja-JP" altLang="en-US" sz="2800">
              <a:solidFill>
                <a:schemeClr val="bg1"/>
              </a:solidFill>
              <a:effectLst/>
              <a:latin typeface="Meiryo UI" panose="020B0604030504040204" pitchFamily="50" charset="-128"/>
              <a:ea typeface="Meiryo UI" panose="020B0604030504040204" pitchFamily="50" charset="-128"/>
              <a:cs typeface="+mn-cs"/>
            </a:rPr>
            <a:t>いしかわ事業者版／工場・施設版環境</a:t>
          </a:r>
          <a:r>
            <a:rPr kumimoji="1" lang="en-US" altLang="ja-JP" sz="2800">
              <a:solidFill>
                <a:schemeClr val="bg1"/>
              </a:solidFill>
              <a:effectLst/>
              <a:latin typeface="Meiryo UI" panose="020B0604030504040204" pitchFamily="50" charset="-128"/>
              <a:ea typeface="Meiryo UI" panose="020B0604030504040204" pitchFamily="50" charset="-128"/>
              <a:cs typeface="+mn-cs"/>
            </a:rPr>
            <a:t>ISO</a:t>
          </a:r>
          <a:r>
            <a:rPr kumimoji="1" lang="ja-JP" altLang="en-US" sz="2800">
              <a:solidFill>
                <a:schemeClr val="bg1"/>
              </a:solidFill>
              <a:effectLst/>
              <a:latin typeface="Meiryo UI" panose="020B0604030504040204" pitchFamily="50" charset="-128"/>
              <a:ea typeface="Meiryo UI" panose="020B0604030504040204" pitchFamily="50" charset="-128"/>
              <a:cs typeface="+mn-cs"/>
            </a:rPr>
            <a:t>　  　</a:t>
          </a:r>
          <a:r>
            <a:rPr kumimoji="1" lang="ja-JP" altLang="ja-JP" sz="3200">
              <a:solidFill>
                <a:schemeClr val="dk1"/>
              </a:solidFill>
              <a:effectLst/>
              <a:latin typeface="+mn-lt"/>
              <a:ea typeface="+mn-ea"/>
              <a:cs typeface="+mn-cs"/>
            </a:rPr>
            <a:t>🏢</a:t>
          </a:r>
          <a:r>
            <a:rPr kumimoji="1" lang="ja-JP" altLang="en-US" sz="3200" baseline="0">
              <a:solidFill>
                <a:schemeClr val="dk1"/>
              </a:solidFill>
              <a:effectLst/>
              <a:latin typeface="+mn-lt"/>
              <a:ea typeface="+mn-ea"/>
              <a:cs typeface="+mn-cs"/>
            </a:rPr>
            <a:t> </a:t>
          </a:r>
          <a:r>
            <a:rPr kumimoji="1" lang="ja-JP" altLang="en-US" sz="3200" b="1" baseline="0">
              <a:solidFill>
                <a:schemeClr val="bg1"/>
              </a:solidFill>
              <a:effectLst/>
              <a:latin typeface="Meiryo UI" panose="020B0604030504040204" pitchFamily="50" charset="-128"/>
              <a:ea typeface="Meiryo UI" panose="020B0604030504040204" pitchFamily="50" charset="-128"/>
              <a:cs typeface="+mn-cs"/>
            </a:rPr>
            <a:t>二酸化炭素</a:t>
          </a:r>
          <a:r>
            <a:rPr kumimoji="1" lang="ja-JP" altLang="en-US" sz="3200" b="1">
              <a:solidFill>
                <a:schemeClr val="bg1"/>
              </a:solidFill>
              <a:latin typeface="Meiryo UI" panose="020B0604030504040204" pitchFamily="50" charset="-128"/>
              <a:ea typeface="Meiryo UI" panose="020B0604030504040204" pitchFamily="50" charset="-128"/>
            </a:rPr>
            <a:t>排出量</a:t>
          </a:r>
          <a:r>
            <a:rPr kumimoji="1" lang="ja-JP" altLang="en-US" sz="3200" b="1" baseline="0">
              <a:solidFill>
                <a:schemeClr val="bg1"/>
              </a:solidFill>
              <a:latin typeface="Meiryo UI" panose="020B0604030504040204" pitchFamily="50" charset="-128"/>
              <a:ea typeface="Meiryo UI" panose="020B0604030504040204" pitchFamily="50" charset="-128"/>
            </a:rPr>
            <a:t> 可視化</a:t>
          </a:r>
          <a:r>
            <a:rPr kumimoji="1" lang="ja-JP" altLang="en-US" sz="3200" b="1">
              <a:solidFill>
                <a:schemeClr val="bg1"/>
              </a:solidFill>
              <a:latin typeface="Meiryo UI" panose="020B0604030504040204" pitchFamily="50" charset="-128"/>
              <a:ea typeface="Meiryo UI" panose="020B0604030504040204" pitchFamily="50" charset="-128"/>
            </a:rPr>
            <a:t>シート</a:t>
          </a:r>
          <a:r>
            <a:rPr kumimoji="1" lang="ja-JP" altLang="en-US" sz="2800">
              <a:solidFill>
                <a:schemeClr val="bg1"/>
              </a:solidFill>
              <a:latin typeface="Meiryo UI" panose="020B0604030504040204" pitchFamily="50" charset="-128"/>
              <a:ea typeface="Meiryo UI" panose="020B0604030504040204" pitchFamily="50" charset="-128"/>
            </a:rPr>
            <a:t>　📊 </a:t>
          </a:r>
        </a:p>
      </xdr:txBody>
    </xdr:sp>
    <xdr:clientData/>
  </xdr:twoCellAnchor>
  <xdr:twoCellAnchor>
    <xdr:from>
      <xdr:col>1</xdr:col>
      <xdr:colOff>27267</xdr:colOff>
      <xdr:row>6</xdr:row>
      <xdr:rowOff>122517</xdr:rowOff>
    </xdr:from>
    <xdr:to>
      <xdr:col>17</xdr:col>
      <xdr:colOff>11204</xdr:colOff>
      <xdr:row>8</xdr:row>
      <xdr:rowOff>113470</xdr:rowOff>
    </xdr:to>
    <xdr:sp macro="" textlink="">
      <xdr:nvSpPr>
        <xdr:cNvPr id="12" name="テキスト ボックス 11">
          <a:extLst>
            <a:ext uri="{FF2B5EF4-FFF2-40B4-BE49-F238E27FC236}">
              <a16:creationId xmlns:a16="http://schemas.microsoft.com/office/drawing/2014/main" id="{81A3A13B-5588-44F3-A7E7-3808D16F1DE2}"/>
            </a:ext>
          </a:extLst>
        </xdr:cNvPr>
        <xdr:cNvSpPr txBox="1"/>
      </xdr:nvSpPr>
      <xdr:spPr>
        <a:xfrm>
          <a:off x="150532" y="2094752"/>
          <a:ext cx="10853643" cy="360747"/>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en-US" altLang="ja-JP" sz="1800" b="1">
              <a:solidFill>
                <a:schemeClr val="bg1"/>
              </a:solidFill>
              <a:latin typeface="Meiryo UI" panose="020B0604030504040204" pitchFamily="50" charset="-128"/>
              <a:ea typeface="Meiryo UI" panose="020B0604030504040204" pitchFamily="50" charset="-128"/>
            </a:rPr>
            <a:t>CO2</a:t>
          </a:r>
          <a:r>
            <a:rPr kumimoji="1" lang="ja-JP" altLang="en-US" sz="1800" b="1">
              <a:solidFill>
                <a:schemeClr val="bg1"/>
              </a:solidFill>
              <a:latin typeface="Meiryo UI" panose="020B0604030504040204" pitchFamily="50" charset="-128"/>
              <a:ea typeface="Meiryo UI" panose="020B0604030504040204" pitchFamily="50" charset="-128"/>
            </a:rPr>
            <a:t>排出量データ一覧（直近</a:t>
          </a:r>
          <a:r>
            <a:rPr kumimoji="1" lang="en-US" altLang="ja-JP" sz="1800" b="1">
              <a:solidFill>
                <a:schemeClr val="bg1"/>
              </a:solidFill>
              <a:latin typeface="Meiryo UI" panose="020B0604030504040204" pitchFamily="50" charset="-128"/>
              <a:ea typeface="Meiryo UI" panose="020B0604030504040204" pitchFamily="50" charset="-128"/>
            </a:rPr>
            <a:t>2</a:t>
          </a:r>
          <a:r>
            <a:rPr kumimoji="1" lang="ja-JP" altLang="en-US" sz="1800" b="1">
              <a:solidFill>
                <a:schemeClr val="bg1"/>
              </a:solidFill>
              <a:latin typeface="Meiryo UI" panose="020B0604030504040204" pitchFamily="50" charset="-128"/>
              <a:ea typeface="Meiryo UI" panose="020B0604030504040204" pitchFamily="50" charset="-128"/>
            </a:rPr>
            <a:t>ヶ年）</a:t>
          </a:r>
          <a:r>
            <a:rPr kumimoji="1" lang="en-US" altLang="ja-JP" sz="1400" b="1">
              <a:solidFill>
                <a:schemeClr val="bg1"/>
              </a:solidFill>
              <a:latin typeface="Meiryo UI" panose="020B0604030504040204" pitchFamily="50" charset="-128"/>
              <a:ea typeface="Meiryo UI" panose="020B0604030504040204" pitchFamily="50" charset="-128"/>
            </a:rPr>
            <a:t>(kg-CO2)</a:t>
          </a:r>
        </a:p>
      </xdr:txBody>
    </xdr:sp>
    <xdr:clientData/>
  </xdr:twoCellAnchor>
  <xdr:twoCellAnchor>
    <xdr:from>
      <xdr:col>1</xdr:col>
      <xdr:colOff>0</xdr:colOff>
      <xdr:row>32</xdr:row>
      <xdr:rowOff>88894</xdr:rowOff>
    </xdr:from>
    <xdr:to>
      <xdr:col>17</xdr:col>
      <xdr:colOff>44808</xdr:colOff>
      <xdr:row>33</xdr:row>
      <xdr:rowOff>195036</xdr:rowOff>
    </xdr:to>
    <xdr:sp macro="" textlink="">
      <xdr:nvSpPr>
        <xdr:cNvPr id="13" name="テキスト ボックス 12">
          <a:extLst>
            <a:ext uri="{FF2B5EF4-FFF2-40B4-BE49-F238E27FC236}">
              <a16:creationId xmlns:a16="http://schemas.microsoft.com/office/drawing/2014/main" id="{C121E66A-7A25-43F6-A806-EED827E54D45}"/>
            </a:ext>
          </a:extLst>
        </xdr:cNvPr>
        <xdr:cNvSpPr txBox="1"/>
      </xdr:nvSpPr>
      <xdr:spPr>
        <a:xfrm>
          <a:off x="123265" y="8123512"/>
          <a:ext cx="10914514" cy="341465"/>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solidFill>
                <a:schemeClr val="bg1"/>
              </a:solidFill>
              <a:latin typeface="Meiryo UI" panose="020B0604030504040204" pitchFamily="50" charset="-128"/>
              <a:ea typeface="Meiryo UI" panose="020B0604030504040204" pitchFamily="50" charset="-128"/>
            </a:rPr>
            <a:t>Scope</a:t>
          </a:r>
          <a:r>
            <a:rPr kumimoji="1" lang="ja-JP" altLang="en-US" sz="1800" b="1">
              <a:solidFill>
                <a:schemeClr val="bg1"/>
              </a:solidFill>
              <a:latin typeface="Meiryo UI" panose="020B0604030504040204" pitchFamily="50" charset="-128"/>
              <a:ea typeface="Meiryo UI" panose="020B0604030504040204" pitchFamily="50" charset="-128"/>
            </a:rPr>
            <a:t>別の割合</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17</xdr:col>
      <xdr:colOff>422180</xdr:colOff>
      <xdr:row>3</xdr:row>
      <xdr:rowOff>122160</xdr:rowOff>
    </xdr:from>
    <xdr:to>
      <xdr:col>31</xdr:col>
      <xdr:colOff>496907</xdr:colOff>
      <xdr:row>5</xdr:row>
      <xdr:rowOff>23286</xdr:rowOff>
    </xdr:to>
    <xdr:sp macro="" textlink="">
      <xdr:nvSpPr>
        <xdr:cNvPr id="17" name="テキスト ボックス 16">
          <a:extLst>
            <a:ext uri="{FF2B5EF4-FFF2-40B4-BE49-F238E27FC236}">
              <a16:creationId xmlns:a16="http://schemas.microsoft.com/office/drawing/2014/main" id="{3E5AF6F4-FBDA-42E8-97B3-70BEE8CCE6FD}"/>
            </a:ext>
          </a:extLst>
        </xdr:cNvPr>
        <xdr:cNvSpPr txBox="1"/>
      </xdr:nvSpPr>
      <xdr:spPr>
        <a:xfrm>
          <a:off x="11356880" y="1341360"/>
          <a:ext cx="10885602" cy="339276"/>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ja-JP" altLang="en-US" sz="18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Ｓｔｅｐ１．年次の比較</a:t>
          </a:r>
          <a:r>
            <a:rPr kumimoji="1" lang="ja-JP" altLang="en-US" sz="1800" b="1">
              <a:solidFill>
                <a:schemeClr val="bg1"/>
              </a:solidFill>
              <a:latin typeface="Meiryo UI" panose="020B0604030504040204" pitchFamily="50" charset="-128"/>
              <a:ea typeface="Meiryo UI" panose="020B0604030504040204" pitchFamily="50" charset="-128"/>
            </a:rPr>
            <a:t>　📉</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9</xdr:col>
      <xdr:colOff>246531</xdr:colOff>
      <xdr:row>40</xdr:row>
      <xdr:rowOff>49306</xdr:rowOff>
    </xdr:from>
    <xdr:to>
      <xdr:col>17</xdr:col>
      <xdr:colOff>134470</xdr:colOff>
      <xdr:row>44</xdr:row>
      <xdr:rowOff>171450</xdr:rowOff>
    </xdr:to>
    <xdr:sp macro="" textlink="">
      <xdr:nvSpPr>
        <xdr:cNvPr id="27" name="テキスト ボックス 26">
          <a:extLst>
            <a:ext uri="{FF2B5EF4-FFF2-40B4-BE49-F238E27FC236}">
              <a16:creationId xmlns:a16="http://schemas.microsoft.com/office/drawing/2014/main" id="{E3ABF57E-5108-4723-9874-8BAA5F1480E6}"/>
            </a:ext>
          </a:extLst>
        </xdr:cNvPr>
        <xdr:cNvSpPr txBox="1"/>
      </xdr:nvSpPr>
      <xdr:spPr>
        <a:xfrm>
          <a:off x="5923431" y="10041031"/>
          <a:ext cx="5145739" cy="1074644"/>
        </a:xfrm>
        <a:prstGeom prst="roundRect">
          <a:avLst>
            <a:gd name="adj" fmla="val 9524"/>
          </a:avLst>
        </a:prstGeom>
        <a:gradFill flip="none" rotWithShape="1">
          <a:gsLst>
            <a:gs pos="0">
              <a:schemeClr val="bg1"/>
            </a:gs>
            <a:gs pos="50000">
              <a:schemeClr val="bg1"/>
            </a:gs>
            <a:gs pos="100000">
              <a:schemeClr val="bg2">
                <a:lumMod val="90000"/>
                <a:shade val="100000"/>
                <a:satMod val="115000"/>
              </a:schemeClr>
            </a:gs>
          </a:gsLst>
          <a:lin ang="2700000" scaled="1"/>
          <a:tileRect/>
        </a:gradFill>
        <a:ln w="12700"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400"/>
            </a:lnSpc>
            <a:spcBef>
              <a:spcPts val="400"/>
            </a:spcBef>
          </a:pP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　　</a:t>
          </a:r>
          <a:r>
            <a:rPr kumimoji="1" lang="en-US" altLang="ja-JP" sz="1200" b="1" u="none">
              <a:solidFill>
                <a:srgbClr val="FF0000"/>
              </a:solidFill>
              <a:effectLst/>
              <a:latin typeface="Meiryo UI" panose="020B0604030504040204" pitchFamily="50" charset="-128"/>
              <a:ea typeface="Meiryo UI" panose="020B0604030504040204" pitchFamily="50" charset="-128"/>
              <a:cs typeface="+mn-cs"/>
            </a:rPr>
            <a:t>Scope1</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と</a:t>
          </a:r>
          <a:r>
            <a:rPr kumimoji="1" lang="en-US" altLang="ja-JP" sz="1200" b="1" u="none">
              <a:solidFill>
                <a:srgbClr val="FF0000"/>
              </a:solidFill>
              <a:effectLst/>
              <a:latin typeface="Meiryo UI" panose="020B0604030504040204" pitchFamily="50" charset="-128"/>
              <a:ea typeface="Meiryo UI" panose="020B0604030504040204" pitchFamily="50" charset="-128"/>
              <a:cs typeface="+mn-cs"/>
            </a:rPr>
            <a:t>Scope2</a:t>
          </a: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の改善</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は</a:t>
          </a: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自社で日々取り組める重要なポイントです</a:t>
          </a:r>
          <a:endParaRPr lang="ja-JP" altLang="ja-JP" sz="1050" b="1" u="none">
            <a:solidFill>
              <a:srgbClr val="FF0000"/>
            </a:solidFill>
            <a:effectLst/>
            <a:latin typeface="Meiryo UI" panose="020B0604030504040204" pitchFamily="50" charset="-128"/>
            <a:ea typeface="Meiryo UI" panose="020B0604030504040204" pitchFamily="50" charset="-128"/>
          </a:endParaRPr>
        </a:p>
        <a:p>
          <a:pPr>
            <a:lnSpc>
              <a:spcPts val="1400"/>
            </a:lnSpc>
            <a:spcBef>
              <a:spcPts val="400"/>
            </a:spcBef>
          </a:pPr>
          <a:r>
            <a:rPr kumimoji="1" lang="ja-JP" altLang="en-US" sz="1000">
              <a:solidFill>
                <a:schemeClr val="dk1"/>
              </a:solidFill>
              <a:effectLst/>
              <a:latin typeface="Meiryo UI" panose="020B0604030504040204" pitchFamily="50" charset="-128"/>
              <a:ea typeface="Meiryo UI" panose="020B0604030504040204" pitchFamily="50" charset="-128"/>
              <a:cs typeface="+mn-cs"/>
            </a:rPr>
            <a:t>　</a:t>
          </a:r>
          <a:r>
            <a:rPr kumimoji="1" lang="ja-JP" altLang="en-US" sz="1100">
              <a:solidFill>
                <a:schemeClr val="dk1"/>
              </a:solidFill>
              <a:effectLst/>
              <a:latin typeface="Meiryo UI" panose="020B0604030504040204" pitchFamily="50" charset="-128"/>
              <a:ea typeface="Meiryo UI" panose="020B0604030504040204" pitchFamily="50" charset="-128"/>
              <a:cs typeface="+mn-cs"/>
            </a:rPr>
            <a:t>各</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グラフ</a:t>
          </a:r>
          <a:r>
            <a:rPr kumimoji="1" lang="ja-JP" altLang="en-US" sz="1100">
              <a:solidFill>
                <a:schemeClr val="dk1"/>
              </a:solidFill>
              <a:effectLst/>
              <a:latin typeface="Meiryo UI" panose="020B0604030504040204" pitchFamily="50" charset="-128"/>
              <a:ea typeface="Meiryo UI" panose="020B0604030504040204" pitchFamily="50" charset="-128"/>
              <a:cs typeface="+mn-cs"/>
            </a:rPr>
            <a:t>等で示されている</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エネルギー別の割合や推移</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から導かれる検証結果を</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もとに、</a:t>
          </a:r>
          <a:r>
            <a:rPr kumimoji="1" lang="ja-JP" altLang="en-US" sz="1100">
              <a:solidFill>
                <a:schemeClr val="dk1"/>
              </a:solidFill>
              <a:effectLst/>
              <a:latin typeface="Meiryo UI" panose="020B0604030504040204" pitchFamily="50" charset="-128"/>
              <a:ea typeface="Meiryo UI" panose="020B0604030504040204" pitchFamily="50" charset="-128"/>
              <a:cs typeface="+mn-cs"/>
            </a:rPr>
            <a:t>環境</a:t>
          </a:r>
          <a:r>
            <a:rPr kumimoji="1" lang="ja-JP" altLang="ja-JP" sz="1100">
              <a:solidFill>
                <a:schemeClr val="dk1"/>
              </a:solidFill>
              <a:effectLst/>
              <a:latin typeface="Meiryo UI" panose="020B0604030504040204" pitchFamily="50" charset="-128"/>
              <a:ea typeface="Meiryo UI" panose="020B0604030504040204" pitchFamily="50" charset="-128"/>
              <a:cs typeface="+mn-cs"/>
            </a:rPr>
            <a:t>行動計画を立てていきましょう</a:t>
          </a:r>
          <a:r>
            <a:rPr kumimoji="1" lang="ja-JP" altLang="en-US" sz="1100">
              <a:solidFill>
                <a:schemeClr val="dk1"/>
              </a:solidFill>
              <a:effectLst/>
              <a:latin typeface="Meiryo UI" panose="020B0604030504040204" pitchFamily="50" charset="-128"/>
              <a:ea typeface="Meiryo UI" panose="020B0604030504040204" pitchFamily="50" charset="-128"/>
              <a:cs typeface="+mn-cs"/>
            </a:rPr>
            <a:t>。　それぞれの排出量を把握</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することは</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脱炭素経営の基盤となり、社会的信用の向上、経費の削減に</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も</a:t>
          </a:r>
          <a:r>
            <a:rPr kumimoji="1" lang="ja-JP" altLang="ja-JP" sz="1100">
              <a:solidFill>
                <a:schemeClr val="dk1"/>
              </a:solidFill>
              <a:effectLst/>
              <a:latin typeface="Meiryo UI" panose="020B0604030504040204" pitchFamily="50" charset="-128"/>
              <a:ea typeface="Meiryo UI" panose="020B0604030504040204" pitchFamily="50" charset="-128"/>
              <a:cs typeface="+mn-cs"/>
            </a:rPr>
            <a:t>繋がります</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15</xdr:col>
      <xdr:colOff>611606</xdr:colOff>
      <xdr:row>35</xdr:row>
      <xdr:rowOff>46957</xdr:rowOff>
    </xdr:from>
    <xdr:ext cx="184731" cy="264560"/>
    <xdr:sp macro="" textlink="">
      <xdr:nvSpPr>
        <xdr:cNvPr id="28" name="テキスト ボックス 27">
          <a:extLst>
            <a:ext uri="{FF2B5EF4-FFF2-40B4-BE49-F238E27FC236}">
              <a16:creationId xmlns:a16="http://schemas.microsoft.com/office/drawing/2014/main" id="{AB8B74B8-80BA-47B6-B72B-2A612722E1D2}"/>
            </a:ext>
          </a:extLst>
        </xdr:cNvPr>
        <xdr:cNvSpPr txBox="1"/>
      </xdr:nvSpPr>
      <xdr:spPr>
        <a:xfrm>
          <a:off x="10231856" y="8314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twoCellAnchor>
    <xdr:from>
      <xdr:col>4</xdr:col>
      <xdr:colOff>393531</xdr:colOff>
      <xdr:row>5</xdr:row>
      <xdr:rowOff>38886</xdr:rowOff>
    </xdr:from>
    <xdr:to>
      <xdr:col>5</xdr:col>
      <xdr:colOff>30006</xdr:colOff>
      <xdr:row>6</xdr:row>
      <xdr:rowOff>1339</xdr:rowOff>
    </xdr:to>
    <xdr:sp macro="" textlink="">
      <xdr:nvSpPr>
        <xdr:cNvPr id="30" name="矢印: 右 29">
          <a:extLst>
            <a:ext uri="{FF2B5EF4-FFF2-40B4-BE49-F238E27FC236}">
              <a16:creationId xmlns:a16="http://schemas.microsoft.com/office/drawing/2014/main" id="{227BE639-DC61-4762-BD57-F5FAB2C2C0A9}"/>
            </a:ext>
          </a:extLst>
        </xdr:cNvPr>
        <xdr:cNvSpPr/>
      </xdr:nvSpPr>
      <xdr:spPr>
        <a:xfrm>
          <a:off x="2781489" y="1702407"/>
          <a:ext cx="293834" cy="277717"/>
        </a:xfrm>
        <a:prstGeom prst="rightArrow">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0</xdr:colOff>
      <xdr:row>46</xdr:row>
      <xdr:rowOff>30463</xdr:rowOff>
    </xdr:from>
    <xdr:to>
      <xdr:col>17</xdr:col>
      <xdr:colOff>48543</xdr:colOff>
      <xdr:row>47</xdr:row>
      <xdr:rowOff>127269</xdr:rowOff>
    </xdr:to>
    <xdr:sp macro="" textlink="">
      <xdr:nvSpPr>
        <xdr:cNvPr id="32" name="テキスト ボックス 31">
          <a:extLst>
            <a:ext uri="{FF2B5EF4-FFF2-40B4-BE49-F238E27FC236}">
              <a16:creationId xmlns:a16="http://schemas.microsoft.com/office/drawing/2014/main" id="{A2315BE5-B81D-42F3-AD56-A7E377666D2E}"/>
            </a:ext>
          </a:extLst>
        </xdr:cNvPr>
        <xdr:cNvSpPr txBox="1"/>
      </xdr:nvSpPr>
      <xdr:spPr>
        <a:xfrm>
          <a:off x="123265" y="11325992"/>
          <a:ext cx="10918249" cy="332130"/>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推移と傾向</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28</xdr:col>
      <xdr:colOff>333318</xdr:colOff>
      <xdr:row>5</xdr:row>
      <xdr:rowOff>189054</xdr:rowOff>
    </xdr:from>
    <xdr:to>
      <xdr:col>31</xdr:col>
      <xdr:colOff>496907</xdr:colOff>
      <xdr:row>19</xdr:row>
      <xdr:rowOff>224118</xdr:rowOff>
    </xdr:to>
    <xdr:sp macro="" textlink="">
      <xdr:nvSpPr>
        <xdr:cNvPr id="51" name="テキスト ボックス 50">
          <a:extLst>
            <a:ext uri="{FF2B5EF4-FFF2-40B4-BE49-F238E27FC236}">
              <a16:creationId xmlns:a16="http://schemas.microsoft.com/office/drawing/2014/main" id="{25730C79-C1EA-499F-88F0-CBEEE4FD94BE}"/>
            </a:ext>
          </a:extLst>
        </xdr:cNvPr>
        <xdr:cNvSpPr txBox="1"/>
      </xdr:nvSpPr>
      <xdr:spPr>
        <a:xfrm>
          <a:off x="19719494" y="1851260"/>
          <a:ext cx="2516825" cy="3060652"/>
        </a:xfrm>
        <a:prstGeom prst="rect">
          <a:avLst/>
        </a:prstGeom>
        <a:no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600">
              <a:solidFill>
                <a:sysClr val="windowText" lastClr="000000"/>
              </a:solidFill>
              <a:latin typeface="Meiryo UI" panose="020B0604030504040204" pitchFamily="50" charset="-128"/>
              <a:ea typeface="Meiryo UI" panose="020B0604030504040204" pitchFamily="50" charset="-128"/>
            </a:rPr>
            <a:t>■年間のエネルギー別</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排出量の増減を確認します。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en-US" altLang="ja-JP" sz="1600">
              <a:solidFill>
                <a:sysClr val="windowText" lastClr="000000"/>
              </a:solidFill>
              <a:latin typeface="Meiryo UI" panose="020B0604030504040204" pitchFamily="50" charset="-128"/>
              <a:ea typeface="Meiryo UI" panose="020B0604030504040204" pitchFamily="50" charset="-128"/>
            </a:rPr>
            <a:t> </a:t>
          </a:r>
          <a:r>
            <a:rPr kumimoji="1" lang="ja-JP" altLang="en-US" sz="1600">
              <a:solidFill>
                <a:sysClr val="windowText" lastClr="000000"/>
              </a:solidFill>
              <a:latin typeface="Meiryo UI" panose="020B0604030504040204" pitchFamily="50" charset="-128"/>
              <a:ea typeface="Meiryo UI" panose="020B0604030504040204" pitchFamily="50" charset="-128"/>
            </a:rPr>
            <a:t>　合計の</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総排出量だけでなく、エネルギー毎に</a:t>
          </a:r>
          <a:r>
            <a:rPr kumimoji="1" lang="ja-JP" altLang="en-US" sz="1600" baseline="0">
              <a:solidFill>
                <a:sysClr val="windowText" lastClr="000000"/>
              </a:solidFill>
              <a:latin typeface="Meiryo UI" panose="020B0604030504040204" pitchFamily="50" charset="-128"/>
              <a:ea typeface="Meiryo UI" panose="020B0604030504040204" pitchFamily="50" charset="-128"/>
            </a:rPr>
            <a:t>どのように「増えているか」「減っているか」を比較することで、省エネを進めるうえで特に着目すべき排出源が見えてきます。</a:t>
          </a:r>
          <a:endParaRPr kumimoji="1" lang="en-US" altLang="ja-JP" sz="1600"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17</xdr:col>
      <xdr:colOff>429477</xdr:colOff>
      <xdr:row>20</xdr:row>
      <xdr:rowOff>3596</xdr:rowOff>
    </xdr:from>
    <xdr:to>
      <xdr:col>31</xdr:col>
      <xdr:colOff>504204</xdr:colOff>
      <xdr:row>21</xdr:row>
      <xdr:rowOff>152183</xdr:rowOff>
    </xdr:to>
    <xdr:sp macro="" textlink="">
      <xdr:nvSpPr>
        <xdr:cNvPr id="75" name="テキスト ボックス 74">
          <a:extLst>
            <a:ext uri="{FF2B5EF4-FFF2-40B4-BE49-F238E27FC236}">
              <a16:creationId xmlns:a16="http://schemas.microsoft.com/office/drawing/2014/main" id="{C20350CE-8B0A-4F15-918E-67DB68F9E87C}"/>
            </a:ext>
          </a:extLst>
        </xdr:cNvPr>
        <xdr:cNvSpPr txBox="1"/>
      </xdr:nvSpPr>
      <xdr:spPr>
        <a:xfrm>
          <a:off x="11422448" y="5281567"/>
          <a:ext cx="10933227" cy="372704"/>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ja-JP" altLang="en-US" sz="18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Ｓｔｅｐ２．月次の比較</a:t>
          </a:r>
          <a:r>
            <a:rPr kumimoji="1" lang="ja-JP" altLang="en-US" sz="1800" b="1">
              <a:solidFill>
                <a:schemeClr val="bg1"/>
              </a:solidFill>
              <a:latin typeface="Meiryo UI" panose="020B0604030504040204" pitchFamily="50" charset="-128"/>
              <a:ea typeface="Meiryo UI" panose="020B0604030504040204" pitchFamily="50" charset="-128"/>
            </a:rPr>
            <a:t>　📉</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9</xdr:col>
      <xdr:colOff>543671</xdr:colOff>
      <xdr:row>35</xdr:row>
      <xdr:rowOff>7795</xdr:rowOff>
    </xdr:from>
    <xdr:to>
      <xdr:col>17</xdr:col>
      <xdr:colOff>188258</xdr:colOff>
      <xdr:row>40</xdr:row>
      <xdr:rowOff>57150</xdr:rowOff>
    </xdr:to>
    <xdr:sp macro="" textlink="">
      <xdr:nvSpPr>
        <xdr:cNvPr id="77" name="正方形/長方形 76">
          <a:extLst>
            <a:ext uri="{FF2B5EF4-FFF2-40B4-BE49-F238E27FC236}">
              <a16:creationId xmlns:a16="http://schemas.microsoft.com/office/drawing/2014/main" id="{6305EAD7-8202-41BD-AD3F-4839C47452AC}"/>
            </a:ext>
          </a:extLst>
        </xdr:cNvPr>
        <xdr:cNvSpPr/>
      </xdr:nvSpPr>
      <xdr:spPr>
        <a:xfrm>
          <a:off x="6220571" y="8818420"/>
          <a:ext cx="4902387" cy="1192355"/>
        </a:xfrm>
        <a:prstGeom prst="rect">
          <a:avLst/>
        </a:prstGeom>
        <a:noFill/>
        <a:ln w="9525">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nSpc>
              <a:spcPts val="1300"/>
            </a:lnSpc>
            <a:spcBef>
              <a:spcPts val="400"/>
            </a:spcBef>
          </a:pPr>
          <a:r>
            <a:rPr kumimoji="1" lang="ja-JP" altLang="ja-JP" sz="16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600" b="1">
              <a:solidFill>
                <a:srgbClr val="0070C0"/>
              </a:solidFill>
              <a:effectLst/>
              <a:latin typeface="Meiryo UI" panose="020B0604030504040204" pitchFamily="50" charset="-128"/>
              <a:ea typeface="Meiryo UI" panose="020B0604030504040204" pitchFamily="50" charset="-128"/>
              <a:cs typeface="+mn-cs"/>
            </a:rPr>
            <a:t>「</a:t>
          </a:r>
          <a:r>
            <a:rPr kumimoji="1" lang="en-US" altLang="ja-JP" sz="1600" b="1">
              <a:solidFill>
                <a:srgbClr val="0070C0"/>
              </a:solidFill>
              <a:effectLst/>
              <a:latin typeface="Meiryo UI" panose="020B0604030504040204" pitchFamily="50" charset="-128"/>
              <a:ea typeface="Meiryo UI" panose="020B0604030504040204" pitchFamily="50" charset="-128"/>
              <a:cs typeface="+mn-cs"/>
            </a:rPr>
            <a:t>Scope</a:t>
          </a:r>
          <a:r>
            <a:rPr kumimoji="1" lang="ja-JP" altLang="ja-JP" sz="1600" b="1">
              <a:solidFill>
                <a:srgbClr val="0070C0"/>
              </a:solidFill>
              <a:effectLst/>
              <a:latin typeface="Meiryo UI" panose="020B0604030504040204" pitchFamily="50" charset="-128"/>
              <a:ea typeface="Meiryo UI" panose="020B0604030504040204" pitchFamily="50" charset="-128"/>
              <a:cs typeface="+mn-cs"/>
            </a:rPr>
            <a:t>」とは</a:t>
          </a:r>
          <a:endParaRPr lang="ja-JP" altLang="ja-JP" sz="1600">
            <a:solidFill>
              <a:srgbClr val="0070C0"/>
            </a:solidFill>
            <a:effectLst/>
            <a:latin typeface="Meiryo UI" panose="020B0604030504040204" pitchFamily="50" charset="-128"/>
            <a:ea typeface="Meiryo UI" panose="020B0604030504040204" pitchFamily="50" charset="-128"/>
          </a:endParaRPr>
        </a:p>
        <a:p>
          <a:pPr>
            <a:lnSpc>
              <a:spcPts val="1300"/>
            </a:lnSpc>
            <a:spcBef>
              <a:spcPts val="400"/>
            </a:spcBef>
          </a:pPr>
          <a:r>
            <a:rPr kumimoji="1" lang="en-US" altLang="ja-JP" sz="1200" b="1">
              <a:solidFill>
                <a:srgbClr val="FE7F00"/>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FE7F00"/>
              </a:solidFill>
              <a:effectLst/>
              <a:latin typeface="Meiryo UI" panose="020B0604030504040204" pitchFamily="50" charset="-128"/>
              <a:ea typeface="Meiryo UI" panose="020B0604030504040204" pitchFamily="50" charset="-128"/>
              <a:cs typeface="+mn-cs"/>
            </a:rPr>
            <a:t>１</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事業者自らによる</a:t>
          </a:r>
          <a:r>
            <a:rPr kumimoji="1" lang="ja-JP" altLang="ja-JP" sz="1200" b="1">
              <a:solidFill>
                <a:sysClr val="windowText" lastClr="000000"/>
              </a:solidFill>
              <a:effectLst/>
              <a:latin typeface="Meiryo UI" panose="020B0604030504040204" pitchFamily="50" charset="-128"/>
              <a:ea typeface="Meiryo UI" panose="020B0604030504040204" pitchFamily="50" charset="-128"/>
              <a:cs typeface="+mn-cs"/>
            </a:rPr>
            <a:t>直接的な排出</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燃料の燃焼</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等）</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en-US" altLang="ja-JP" sz="1200" b="1">
              <a:solidFill>
                <a:srgbClr val="0000FF"/>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0000FF"/>
              </a:solidFill>
              <a:effectLst/>
              <a:latin typeface="Meiryo UI" panose="020B0604030504040204" pitchFamily="50" charset="-128"/>
              <a:ea typeface="Meiryo UI" panose="020B0604030504040204" pitchFamily="50" charset="-128"/>
              <a:cs typeface="+mn-cs"/>
            </a:rPr>
            <a:t>２</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供給されるエネルギーによる</a:t>
          </a:r>
          <a:r>
            <a:rPr kumimoji="1" lang="ja-JP" altLang="ja-JP" sz="1200" b="1">
              <a:solidFill>
                <a:sysClr val="windowText" lastClr="000000"/>
              </a:solidFill>
              <a:effectLst/>
              <a:latin typeface="Meiryo UI" panose="020B0604030504040204" pitchFamily="50" charset="-128"/>
              <a:ea typeface="Meiryo UI" panose="020B0604030504040204" pitchFamily="50" charset="-128"/>
              <a:cs typeface="+mn-cs"/>
            </a:rPr>
            <a:t>間接的な排出</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購入電力</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等）</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en-US" altLang="ja-JP" sz="1200" b="1">
              <a:solidFill>
                <a:srgbClr val="FF66FF"/>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FF66FF"/>
              </a:solidFill>
              <a:effectLst/>
              <a:latin typeface="Meiryo UI" panose="020B0604030504040204" pitchFamily="50" charset="-128"/>
              <a:ea typeface="Meiryo UI" panose="020B0604030504040204" pitchFamily="50" charset="-128"/>
              <a:cs typeface="+mn-cs"/>
            </a:rPr>
            <a:t>３</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１と２以外の間接排出</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　　　　　　（販売先での製品利用や、他社による材料生産・輸送等</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a:lnSpc>
              <a:spcPts val="1300"/>
            </a:lnSpc>
            <a:spcBef>
              <a:spcPts val="400"/>
            </a:spcBef>
          </a:pPr>
          <a:endParaRPr kumimoji="1" lang="ja-JP" altLang="en-US" sz="1000" kern="12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20</xdr:col>
      <xdr:colOff>328685</xdr:colOff>
      <xdr:row>5</xdr:row>
      <xdr:rowOff>189264</xdr:rowOff>
    </xdr:from>
    <xdr:to>
      <xdr:col>22</xdr:col>
      <xdr:colOff>696048</xdr:colOff>
      <xdr:row>18</xdr:row>
      <xdr:rowOff>137145</xdr:rowOff>
    </xdr:to>
    <xdr:graphicFrame macro="">
      <xdr:nvGraphicFramePr>
        <xdr:cNvPr id="98" name="グラフ 97">
          <a:extLst>
            <a:ext uri="{FF2B5EF4-FFF2-40B4-BE49-F238E27FC236}">
              <a16:creationId xmlns:a16="http://schemas.microsoft.com/office/drawing/2014/main" id="{7232C68D-EF38-45FE-832B-1483C148A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488855</xdr:colOff>
      <xdr:row>5</xdr:row>
      <xdr:rowOff>189264</xdr:rowOff>
    </xdr:from>
    <xdr:to>
      <xdr:col>20</xdr:col>
      <xdr:colOff>198128</xdr:colOff>
      <xdr:row>18</xdr:row>
      <xdr:rowOff>137145</xdr:rowOff>
    </xdr:to>
    <xdr:graphicFrame macro="">
      <xdr:nvGraphicFramePr>
        <xdr:cNvPr id="99" name="グラフ 98">
          <a:extLst>
            <a:ext uri="{FF2B5EF4-FFF2-40B4-BE49-F238E27FC236}">
              <a16:creationId xmlns:a16="http://schemas.microsoft.com/office/drawing/2014/main" id="{85A3622D-9690-7FFA-8C06-1827E5EA24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45555</xdr:colOff>
      <xdr:row>5</xdr:row>
      <xdr:rowOff>189264</xdr:rowOff>
    </xdr:from>
    <xdr:to>
      <xdr:col>25</xdr:col>
      <xdr:colOff>409455</xdr:colOff>
      <xdr:row>18</xdr:row>
      <xdr:rowOff>139014</xdr:rowOff>
    </xdr:to>
    <xdr:graphicFrame macro="">
      <xdr:nvGraphicFramePr>
        <xdr:cNvPr id="102" name="グラフ 101">
          <a:extLst>
            <a:ext uri="{FF2B5EF4-FFF2-40B4-BE49-F238E27FC236}">
              <a16:creationId xmlns:a16="http://schemas.microsoft.com/office/drawing/2014/main" id="{514D58D2-120E-2C2A-1394-3059E13010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540011</xdr:colOff>
      <xdr:row>5</xdr:row>
      <xdr:rowOff>189264</xdr:rowOff>
    </xdr:from>
    <xdr:to>
      <xdr:col>28</xdr:col>
      <xdr:colOff>122861</xdr:colOff>
      <xdr:row>18</xdr:row>
      <xdr:rowOff>139014</xdr:rowOff>
    </xdr:to>
    <xdr:graphicFrame macro="">
      <xdr:nvGraphicFramePr>
        <xdr:cNvPr id="104" name="グラフ 103">
          <a:extLst>
            <a:ext uri="{FF2B5EF4-FFF2-40B4-BE49-F238E27FC236}">
              <a16:creationId xmlns:a16="http://schemas.microsoft.com/office/drawing/2014/main" id="{62BB2520-038D-A2CC-C65A-C4ED88418C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48</xdr:row>
      <xdr:rowOff>37619</xdr:rowOff>
    </xdr:from>
    <xdr:to>
      <xdr:col>17</xdr:col>
      <xdr:colOff>49583</xdr:colOff>
      <xdr:row>62</xdr:row>
      <xdr:rowOff>123915</xdr:rowOff>
    </xdr:to>
    <xdr:graphicFrame macro="">
      <xdr:nvGraphicFramePr>
        <xdr:cNvPr id="105" name="グラフ 104">
          <a:extLst>
            <a:ext uri="{FF2B5EF4-FFF2-40B4-BE49-F238E27FC236}">
              <a16:creationId xmlns:a16="http://schemas.microsoft.com/office/drawing/2014/main" id="{765FDB97-CC9B-4314-9EEA-D0E83F513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483578</xdr:colOff>
      <xdr:row>49</xdr:row>
      <xdr:rowOff>117022</xdr:rowOff>
    </xdr:from>
    <xdr:to>
      <xdr:col>16</xdr:col>
      <xdr:colOff>603000</xdr:colOff>
      <xdr:row>52</xdr:row>
      <xdr:rowOff>15144</xdr:rowOff>
    </xdr:to>
    <xdr:sp macro="" textlink="">
      <xdr:nvSpPr>
        <xdr:cNvPr id="106" name="テキスト ボックス 1">
          <a:extLst>
            <a:ext uri="{FF2B5EF4-FFF2-40B4-BE49-F238E27FC236}">
              <a16:creationId xmlns:a16="http://schemas.microsoft.com/office/drawing/2014/main" id="{9D7127FC-9A9E-4E33-9566-4C9A73C6AFD8}"/>
            </a:ext>
          </a:extLst>
        </xdr:cNvPr>
        <xdr:cNvSpPr txBox="1"/>
      </xdr:nvSpPr>
      <xdr:spPr>
        <a:xfrm>
          <a:off x="8831960" y="12185757"/>
          <a:ext cx="2102864" cy="604093"/>
        </a:xfrm>
        <a:prstGeom prst="rect">
          <a:avLst/>
        </a:prstGeom>
        <a:solidFill>
          <a:schemeClr val="bg1"/>
        </a:solidFill>
        <a:ln>
          <a:solidFill>
            <a:schemeClr val="bg1">
              <a:lumMod val="75000"/>
            </a:schemeClr>
          </a:solidFill>
        </a:ln>
      </xdr:spPr>
      <xdr:txBody>
        <a:bodyPr wrap="square"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直近年度</a:t>
          </a:r>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棒グラフ</a:t>
          </a:r>
          <a:endParaRPr lang="en-US" altLang="ja-JP" sz="1200" kern="1200">
            <a:latin typeface="Meiryo UI" panose="020B0604030504040204" pitchFamily="50" charset="-128"/>
            <a:ea typeface="Meiryo UI" panose="020B0604030504040204" pitchFamily="50" charset="-128"/>
          </a:endParaRPr>
        </a:p>
        <a:p>
          <a:pPr algn="l"/>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前々年度</a:t>
          </a:r>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面グラフ（背面）</a:t>
          </a:r>
        </a:p>
      </xdr:txBody>
    </xdr:sp>
    <xdr:clientData/>
  </xdr:twoCellAnchor>
  <xdr:twoCellAnchor editAs="oneCell">
    <xdr:from>
      <xdr:col>29</xdr:col>
      <xdr:colOff>750793</xdr:colOff>
      <xdr:row>0</xdr:row>
      <xdr:rowOff>0</xdr:rowOff>
    </xdr:from>
    <xdr:to>
      <xdr:col>31</xdr:col>
      <xdr:colOff>543140</xdr:colOff>
      <xdr:row>4</xdr:row>
      <xdr:rowOff>154193</xdr:rowOff>
    </xdr:to>
    <xdr:pic>
      <xdr:nvPicPr>
        <xdr:cNvPr id="18" name="図 17" descr="ロゴ&#10;&#10;AI によって生成されたコンテンツは間違っている可能性があります。">
          <a:extLst>
            <a:ext uri="{FF2B5EF4-FFF2-40B4-BE49-F238E27FC236}">
              <a16:creationId xmlns:a16="http://schemas.microsoft.com/office/drawing/2014/main" id="{DF94B166-7D35-4559-85C4-49F137E8477F}"/>
            </a:ext>
          </a:extLst>
        </xdr:cNvPr>
        <xdr:cNvPicPr>
          <a:picLocks noChangeAspect="1"/>
        </xdr:cNvPicPr>
      </xdr:nvPicPr>
      <xdr:blipFill>
        <a:blip xmlns:r="http://schemas.openxmlformats.org/officeDocument/2006/relationships" r:embed="rId6" cstate="print">
          <a:extLst>
            <a:ext uri="{BEBA8EAE-BF5A-486C-A8C5-ECC9F3942E4B}">
              <a14:imgProps xmlns:a14="http://schemas.microsoft.com/office/drawing/2010/main">
                <a14:imgLayer r:embed="rId7">
                  <a14:imgEffect>
                    <a14:backgroundRemoval t="4948" b="96875" l="4644" r="89474">
                      <a14:foregroundMark x1="29721" y1="12760" x2="29721" y2="12760"/>
                      <a14:foregroundMark x1="28483" y1="12760" x2="28483" y2="12760"/>
                      <a14:foregroundMark x1="25697" y1="10938" x2="25697" y2="10938"/>
                      <a14:foregroundMark x1="17647" y1="16667" x2="17647" y2="16667"/>
                      <a14:foregroundMark x1="17647" y1="16406" x2="17647" y2="16406"/>
                      <a14:foregroundMark x1="40867" y1="8073" x2="40867" y2="8073"/>
                      <a14:foregroundMark x1="37152" y1="6771" x2="37152" y2="6771"/>
                      <a14:foregroundMark x1="35913" y1="6771" x2="35913" y2="6771"/>
                      <a14:foregroundMark x1="33437" y1="6771" x2="33437" y2="6771"/>
                      <a14:foregroundMark x1="33746" y1="7813" x2="33746" y2="7813"/>
                      <a14:foregroundMark x1="36533" y1="25000" x2="36533" y2="25000"/>
                      <a14:foregroundMark x1="9288" y1="61198" x2="9907" y2="62240"/>
                      <a14:foregroundMark x1="45511" y1="77865" x2="45511" y2="77865"/>
                      <a14:foregroundMark x1="43963" y1="83333" x2="43963" y2="83333"/>
                      <a14:foregroundMark x1="51393" y1="90625" x2="51393" y2="90625"/>
                      <a14:foregroundMark x1="60991" y1="94010" x2="60991" y2="94010"/>
                      <a14:foregroundMark x1="64396" y1="96875" x2="64396" y2="96875"/>
                      <a14:foregroundMark x1="17028" y1="19792" x2="17028" y2="19792"/>
                      <a14:foregroundMark x1="37152" y1="5208" x2="37152" y2="5208"/>
                      <a14:foregroundMark x1="39009" y1="67969" x2="39009" y2="67969"/>
                      <a14:foregroundMark x1="4644" y1="60938" x2="4644" y2="60938"/>
                      <a14:foregroundMark x1="23220" y1="13542" x2="23220" y2="13542"/>
                    </a14:backgroundRemoval>
                  </a14:imgEffect>
                </a14:imgLayer>
              </a14:imgProps>
            </a:ext>
            <a:ext uri="{28A0092B-C50C-407E-A947-70E740481C1C}">
              <a14:useLocalDpi xmlns:a14="http://schemas.microsoft.com/office/drawing/2010/main" val="0"/>
            </a:ext>
          </a:extLst>
        </a:blip>
        <a:stretch>
          <a:fillRect/>
        </a:stretch>
      </xdr:blipFill>
      <xdr:spPr>
        <a:xfrm>
          <a:off x="21033440" y="0"/>
          <a:ext cx="1361171" cy="1498899"/>
        </a:xfrm>
        <a:prstGeom prst="rect">
          <a:avLst/>
        </a:prstGeom>
      </xdr:spPr>
    </xdr:pic>
    <xdr:clientData/>
  </xdr:twoCellAnchor>
  <xdr:twoCellAnchor>
    <xdr:from>
      <xdr:col>17</xdr:col>
      <xdr:colOff>406693</xdr:colOff>
      <xdr:row>49</xdr:row>
      <xdr:rowOff>168884</xdr:rowOff>
    </xdr:from>
    <xdr:to>
      <xdr:col>31</xdr:col>
      <xdr:colOff>468627</xdr:colOff>
      <xdr:row>62</xdr:row>
      <xdr:rowOff>161925</xdr:rowOff>
    </xdr:to>
    <xdr:grpSp>
      <xdr:nvGrpSpPr>
        <xdr:cNvPr id="95" name="グループ化 94">
          <a:extLst>
            <a:ext uri="{FF2B5EF4-FFF2-40B4-BE49-F238E27FC236}">
              <a16:creationId xmlns:a16="http://schemas.microsoft.com/office/drawing/2014/main" id="{31FA2028-18C9-5C7E-A3A9-6331EC828717}"/>
            </a:ext>
          </a:extLst>
        </xdr:cNvPr>
        <xdr:cNvGrpSpPr/>
      </xdr:nvGrpSpPr>
      <xdr:grpSpPr>
        <a:xfrm>
          <a:off x="11340939" y="11825670"/>
          <a:ext cx="10737192" cy="2938080"/>
          <a:chOff x="11406014" y="12237621"/>
          <a:chExt cx="10907734" cy="3056355"/>
        </a:xfrm>
      </xdr:grpSpPr>
      <xdr:sp macro="" textlink="">
        <xdr:nvSpPr>
          <xdr:cNvPr id="81" name="テキスト ボックス 80">
            <a:extLst>
              <a:ext uri="{FF2B5EF4-FFF2-40B4-BE49-F238E27FC236}">
                <a16:creationId xmlns:a16="http://schemas.microsoft.com/office/drawing/2014/main" id="{10917567-9D3A-4CF2-B1DE-E95FA2D0E226}"/>
              </a:ext>
            </a:extLst>
          </xdr:cNvPr>
          <xdr:cNvSpPr txBox="1"/>
        </xdr:nvSpPr>
        <xdr:spPr>
          <a:xfrm>
            <a:off x="11406014" y="12237621"/>
            <a:ext cx="10907734" cy="3056355"/>
          </a:xfrm>
          <a:prstGeom prst="rect">
            <a:avLst/>
          </a:prstGeom>
          <a:no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600">
                <a:solidFill>
                  <a:sysClr val="windowText" lastClr="000000"/>
                </a:solidFill>
                <a:latin typeface="Meiryo UI" panose="020B0604030504040204" pitchFamily="50" charset="-128"/>
                <a:ea typeface="Meiryo UI" panose="020B0604030504040204" pitchFamily="50" charset="-128"/>
              </a:rPr>
              <a:t>■「この月だけ電気使用量が増えた理由は？」「この月以降に自動車燃料が減った理由は？」といったことに着目して月毎のエネルギー別</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排出量を振り返り、具体的な要因を検証します。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ja-JP" altLang="en-US" sz="16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また、特にエネルギー消費の大きなポイントを把握することで、削減のヒントが見えてくることもあります。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ja-JP" altLang="en-US" sz="1600">
                <a:solidFill>
                  <a:sysClr val="windowText" lastClr="000000"/>
                </a:solidFill>
                <a:latin typeface="Meiryo UI" panose="020B0604030504040204" pitchFamily="50" charset="-128"/>
                <a:ea typeface="Meiryo UI" panose="020B0604030504040204" pitchFamily="50" charset="-128"/>
              </a:rPr>
              <a:t>　 検証の結果を環境行動計画に反映させるとともに、「省エネ診断」や、このエクセルの申請様式に付属している「設備導入効果試算シート」を活用するなどして、省エネに向けた運用改善や設備更新など、より具体的な取組を進めていきましょう。</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3" name="正方形/長方形 92">
            <a:extLst>
              <a:ext uri="{FF2B5EF4-FFF2-40B4-BE49-F238E27FC236}">
                <a16:creationId xmlns:a16="http://schemas.microsoft.com/office/drawing/2014/main" id="{A17B447B-D86B-402A-A12D-009984511D98}"/>
              </a:ext>
            </a:extLst>
          </xdr:cNvPr>
          <xdr:cNvSpPr/>
        </xdr:nvSpPr>
        <xdr:spPr>
          <a:xfrm>
            <a:off x="12271566" y="13357830"/>
            <a:ext cx="8609597" cy="861918"/>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（例）「夏期の電気使用量が特に大きい」 </a:t>
            </a:r>
            <a:r>
              <a:rPr kumimoji="1" lang="en-US" altLang="ja-JP" sz="1400" kern="1200">
                <a:solidFill>
                  <a:sysClr val="windowText" lastClr="000000"/>
                </a:solidFill>
                <a:latin typeface="Meiryo UI" panose="020B0604030504040204" pitchFamily="50" charset="-128"/>
                <a:ea typeface="Meiryo UI" panose="020B0604030504040204" pitchFamily="50" charset="-128"/>
              </a:rPr>
              <a:t>… </a:t>
            </a:r>
            <a:r>
              <a:rPr kumimoji="1" lang="ja-JP" altLang="en-US" sz="1400" kern="1200">
                <a:solidFill>
                  <a:sysClr val="windowText" lastClr="000000"/>
                </a:solidFill>
                <a:latin typeface="Meiryo UI" panose="020B0604030504040204" pitchFamily="50" charset="-128"/>
                <a:ea typeface="Meiryo UI" panose="020B0604030504040204" pitchFamily="50" charset="-128"/>
              </a:rPr>
              <a:t>空調の温度設定や稼働時間、外気導入量の見直しによる運用改善</a:t>
            </a:r>
            <a:endParaRPr kumimoji="1" lang="en-US" altLang="ja-JP" sz="1400" kern="12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　　　　 「冬季の燃料使用量が特に大きい」 </a:t>
            </a:r>
            <a:r>
              <a:rPr kumimoji="1" lang="en-US" altLang="ja-JP" sz="1400" kern="1200">
                <a:solidFill>
                  <a:sysClr val="windowText" lastClr="000000"/>
                </a:solidFill>
                <a:latin typeface="Meiryo UI" panose="020B0604030504040204" pitchFamily="50" charset="-128"/>
                <a:ea typeface="Meiryo UI" panose="020B0604030504040204" pitchFamily="50" charset="-128"/>
              </a:rPr>
              <a:t>… </a:t>
            </a:r>
            <a:r>
              <a:rPr kumimoji="1" lang="ja-JP" altLang="en-US" sz="1400" kern="1200">
                <a:solidFill>
                  <a:sysClr val="windowText" lastClr="000000"/>
                </a:solidFill>
                <a:latin typeface="Meiryo UI" panose="020B0604030504040204" pitchFamily="50" charset="-128"/>
                <a:ea typeface="Meiryo UI" panose="020B0604030504040204" pitchFamily="50" charset="-128"/>
              </a:rPr>
              <a:t>灯油式から電気式ヒートポンプ給湯器への設備更新　　　　　　　　など</a:t>
            </a:r>
          </a:p>
        </xdr:txBody>
      </xdr:sp>
    </xdr:grpSp>
    <xdr:clientData/>
  </xdr:twoCellAnchor>
  <xdr:twoCellAnchor editAs="oneCell">
    <xdr:from>
      <xdr:col>8</xdr:col>
      <xdr:colOff>617731</xdr:colOff>
      <xdr:row>38</xdr:row>
      <xdr:rowOff>56508</xdr:rowOff>
    </xdr:from>
    <xdr:to>
      <xdr:col>10</xdr:col>
      <xdr:colOff>121867</xdr:colOff>
      <xdr:row>41</xdr:row>
      <xdr:rowOff>216149</xdr:rowOff>
    </xdr:to>
    <xdr:pic>
      <xdr:nvPicPr>
        <xdr:cNvPr id="78" name="図 77">
          <a:extLst>
            <a:ext uri="{FF2B5EF4-FFF2-40B4-BE49-F238E27FC236}">
              <a16:creationId xmlns:a16="http://schemas.microsoft.com/office/drawing/2014/main" id="{7BB96283-7A14-473A-804C-B625A288998A}"/>
            </a:ext>
          </a:extLst>
        </xdr:cNvPr>
        <xdr:cNvPicPr>
          <a:picLocks noChangeAspect="1"/>
        </xdr:cNvPicPr>
      </xdr:nvPicPr>
      <xdr:blipFill>
        <a:blip xmlns:r="http://schemas.openxmlformats.org/officeDocument/2006/relationships" r:embed="rId8"/>
        <a:stretch>
          <a:fillRect/>
        </a:stretch>
      </xdr:blipFill>
      <xdr:spPr>
        <a:xfrm>
          <a:off x="5637406" y="9571983"/>
          <a:ext cx="824936" cy="880366"/>
        </a:xfrm>
        <a:prstGeom prst="rect">
          <a:avLst/>
        </a:prstGeom>
      </xdr:spPr>
    </xdr:pic>
    <xdr:clientData/>
  </xdr:twoCellAnchor>
  <xdr:twoCellAnchor>
    <xdr:from>
      <xdr:col>17</xdr:col>
      <xdr:colOff>611981</xdr:colOff>
      <xdr:row>23</xdr:row>
      <xdr:rowOff>0</xdr:rowOff>
    </xdr:from>
    <xdr:to>
      <xdr:col>31</xdr:col>
      <xdr:colOff>313106</xdr:colOff>
      <xdr:row>31</xdr:row>
      <xdr:rowOff>255000</xdr:rowOff>
    </xdr:to>
    <xdr:graphicFrame macro="">
      <xdr:nvGraphicFramePr>
        <xdr:cNvPr id="107" name="グラフ 106">
          <a:extLst>
            <a:ext uri="{FF2B5EF4-FFF2-40B4-BE49-F238E27FC236}">
              <a16:creationId xmlns:a16="http://schemas.microsoft.com/office/drawing/2014/main" id="{F9D55B92-CCA4-3A8A-4811-7766A9014F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17</xdr:col>
      <xdr:colOff>611981</xdr:colOff>
      <xdr:row>31</xdr:row>
      <xdr:rowOff>80962</xdr:rowOff>
    </xdr:from>
    <xdr:to>
      <xdr:col>31</xdr:col>
      <xdr:colOff>313106</xdr:colOff>
      <xdr:row>40</xdr:row>
      <xdr:rowOff>59737</xdr:rowOff>
    </xdr:to>
    <xdr:graphicFrame macro="">
      <xdr:nvGraphicFramePr>
        <xdr:cNvPr id="108" name="グラフ 107">
          <a:extLst>
            <a:ext uri="{FF2B5EF4-FFF2-40B4-BE49-F238E27FC236}">
              <a16:creationId xmlns:a16="http://schemas.microsoft.com/office/drawing/2014/main" id="{60CD10A9-C75D-63BB-5DA4-6DD3871013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611981</xdr:colOff>
      <xdr:row>39</xdr:row>
      <xdr:rowOff>123825</xdr:rowOff>
    </xdr:from>
    <xdr:to>
      <xdr:col>31</xdr:col>
      <xdr:colOff>313106</xdr:colOff>
      <xdr:row>49</xdr:row>
      <xdr:rowOff>46575</xdr:rowOff>
    </xdr:to>
    <xdr:graphicFrame macro="">
      <xdr:nvGraphicFramePr>
        <xdr:cNvPr id="109" name="グラフ 108">
          <a:extLst>
            <a:ext uri="{FF2B5EF4-FFF2-40B4-BE49-F238E27FC236}">
              <a16:creationId xmlns:a16="http://schemas.microsoft.com/office/drawing/2014/main" id="{06840A4F-BA87-960E-D7EB-B7B012EAE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95250</xdr:colOff>
      <xdr:row>36</xdr:row>
      <xdr:rowOff>133350</xdr:rowOff>
    </xdr:from>
    <xdr:to>
      <xdr:col>4</xdr:col>
      <xdr:colOff>136071</xdr:colOff>
      <xdr:row>46</xdr:row>
      <xdr:rowOff>133351</xdr:rowOff>
    </xdr:to>
    <xdr:graphicFrame macro="">
      <xdr:nvGraphicFramePr>
        <xdr:cNvPr id="4" name="グラフ 3">
          <a:extLst>
            <a:ext uri="{FF2B5EF4-FFF2-40B4-BE49-F238E27FC236}">
              <a16:creationId xmlns:a16="http://schemas.microsoft.com/office/drawing/2014/main" id="{938325D7-1EFF-4F83-9DF3-B43422240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673100</xdr:colOff>
      <xdr:row>37</xdr:row>
      <xdr:rowOff>112457</xdr:rowOff>
    </xdr:from>
    <xdr:to>
      <xdr:col>6</xdr:col>
      <xdr:colOff>559516</xdr:colOff>
      <xdr:row>45</xdr:row>
      <xdr:rowOff>144718</xdr:rowOff>
    </xdr:to>
    <xdr:graphicFrame macro="">
      <xdr:nvGraphicFramePr>
        <xdr:cNvPr id="6" name="グラフ 5">
          <a:extLst>
            <a:ext uri="{FF2B5EF4-FFF2-40B4-BE49-F238E27FC236}">
              <a16:creationId xmlns:a16="http://schemas.microsoft.com/office/drawing/2014/main" id="{E0ECFB28-E66C-4E6A-8419-CD1963F318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273531</xdr:colOff>
      <xdr:row>35</xdr:row>
      <xdr:rowOff>114300</xdr:rowOff>
    </xdr:from>
    <xdr:to>
      <xdr:col>3</xdr:col>
      <xdr:colOff>624541</xdr:colOff>
      <xdr:row>37</xdr:row>
      <xdr:rowOff>219690</xdr:rowOff>
    </xdr:to>
    <xdr:sp macro="" textlink="">
      <xdr:nvSpPr>
        <xdr:cNvPr id="7" name="テキスト ボックス 6">
          <a:extLst>
            <a:ext uri="{FF2B5EF4-FFF2-40B4-BE49-F238E27FC236}">
              <a16:creationId xmlns:a16="http://schemas.microsoft.com/office/drawing/2014/main" id="{7FFF9947-5D59-4D11-92D8-CF6D537DAF98}"/>
            </a:ext>
          </a:extLst>
        </xdr:cNvPr>
        <xdr:cNvSpPr txBox="1"/>
      </xdr:nvSpPr>
      <xdr:spPr>
        <a:xfrm>
          <a:off x="397356" y="8924925"/>
          <a:ext cx="1827385" cy="57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Scope1</a:t>
          </a:r>
          <a:r>
            <a:rPr kumimoji="1" lang="ja-JP" altLang="en-US" sz="1600" b="1">
              <a:solidFill>
                <a:srgbClr val="0070C0"/>
              </a:solidFill>
              <a:latin typeface="ＭＳ Ｐゴシック" panose="020B0600070205080204" pitchFamily="50" charset="-128"/>
              <a:ea typeface="ＭＳ Ｐゴシック" panose="020B0600070205080204" pitchFamily="50" charset="-128"/>
            </a:rPr>
            <a:t>＋</a:t>
          </a: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Scope2</a:t>
          </a:r>
        </a:p>
        <a:p>
          <a:pPr algn="ctr"/>
          <a:r>
            <a:rPr kumimoji="1" lang="ja-JP" altLang="en-US" sz="1050" b="1">
              <a:solidFill>
                <a:srgbClr val="0070C0"/>
              </a:solidFill>
              <a:latin typeface="ＭＳ Ｐゴシック" panose="020B0600070205080204" pitchFamily="50" charset="-128"/>
              <a:ea typeface="ＭＳ Ｐゴシック" panose="020B0600070205080204" pitchFamily="50" charset="-128"/>
            </a:rPr>
            <a:t>（直接排出）　（購入電力）</a:t>
          </a:r>
        </a:p>
      </xdr:txBody>
    </xdr:sp>
    <xdr:clientData/>
  </xdr:twoCellAnchor>
  <xdr:twoCellAnchor>
    <xdr:from>
      <xdr:col>4</xdr:col>
      <xdr:colOff>87330</xdr:colOff>
      <xdr:row>37</xdr:row>
      <xdr:rowOff>31610</xdr:rowOff>
    </xdr:from>
    <xdr:to>
      <xdr:col>6</xdr:col>
      <xdr:colOff>354710</xdr:colOff>
      <xdr:row>38</xdr:row>
      <xdr:rowOff>159505</xdr:rowOff>
    </xdr:to>
    <xdr:sp macro="" textlink="">
      <xdr:nvSpPr>
        <xdr:cNvPr id="9" name="テキスト ボックス 8">
          <a:extLst>
            <a:ext uri="{FF2B5EF4-FFF2-40B4-BE49-F238E27FC236}">
              <a16:creationId xmlns:a16="http://schemas.microsoft.com/office/drawing/2014/main" id="{8420D212-A318-4257-A4A9-306723824B22}"/>
            </a:ext>
          </a:extLst>
        </xdr:cNvPr>
        <xdr:cNvSpPr txBox="1"/>
      </xdr:nvSpPr>
      <xdr:spPr>
        <a:xfrm>
          <a:off x="2478105" y="9299435"/>
          <a:ext cx="1581830" cy="356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Scope1 </a:t>
          </a:r>
          <a:r>
            <a:rPr kumimoji="1" lang="ja-JP" altLang="en-US" sz="1600" b="1">
              <a:solidFill>
                <a:srgbClr val="0070C0"/>
              </a:solidFill>
              <a:latin typeface="ＭＳ Ｐゴシック" panose="020B0600070205080204" pitchFamily="50" charset="-128"/>
              <a:ea typeface="ＭＳ Ｐゴシック" panose="020B0600070205080204" pitchFamily="50" charset="-128"/>
            </a:rPr>
            <a:t>内訳</a:t>
          </a:r>
        </a:p>
      </xdr:txBody>
    </xdr:sp>
    <xdr:clientData/>
  </xdr:twoCellAnchor>
  <xdr:oneCellAnchor>
    <xdr:from>
      <xdr:col>6</xdr:col>
      <xdr:colOff>390525</xdr:colOff>
      <xdr:row>39</xdr:row>
      <xdr:rowOff>142875</xdr:rowOff>
    </xdr:from>
    <xdr:ext cx="1610121" cy="950260"/>
    <xdr:sp macro="" textlink="">
      <xdr:nvSpPr>
        <xdr:cNvPr id="10" name="テキスト ボックス 9">
          <a:extLst>
            <a:ext uri="{FF2B5EF4-FFF2-40B4-BE49-F238E27FC236}">
              <a16:creationId xmlns:a16="http://schemas.microsoft.com/office/drawing/2014/main" id="{093EB501-CDA1-4552-ABC8-349DEBA27DF2}"/>
            </a:ext>
          </a:extLst>
        </xdr:cNvPr>
        <xdr:cNvSpPr txBox="1"/>
      </xdr:nvSpPr>
      <xdr:spPr>
        <a:xfrm>
          <a:off x="4095750" y="9896475"/>
          <a:ext cx="1610121" cy="950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spcBef>
              <a:spcPts val="1200"/>
            </a:spcBef>
          </a:pPr>
          <a:r>
            <a:rPr kumimoji="1" lang="ja-JP" altLang="en-US" sz="1100" kern="1200">
              <a:solidFill>
                <a:schemeClr val="accent6"/>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Scope1</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（燃料）</a:t>
          </a:r>
          <a:endPar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endParaRPr>
        </a:p>
        <a:p>
          <a:pPr>
            <a:spcBef>
              <a:spcPts val="1200"/>
            </a:spcBef>
          </a:pPr>
          <a:r>
            <a:rPr kumimoji="1" lang="ja-JP" altLang="en-US" sz="1100" kern="1200">
              <a:solidFill>
                <a:srgbClr val="92D050"/>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Scope1</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（自動車燃料）</a:t>
          </a:r>
          <a:endPar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endParaRPr>
        </a:p>
        <a:p>
          <a:pPr>
            <a:spcBef>
              <a:spcPts val="1200"/>
            </a:spcBef>
          </a:pPr>
          <a:r>
            <a:rPr kumimoji="1" lang="ja-JP" altLang="en-US" sz="1100" kern="1200">
              <a:solidFill>
                <a:schemeClr val="tx2">
                  <a:lumMod val="60000"/>
                  <a:lumOff val="40000"/>
                </a:schemeClr>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Scope2</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（購入電力）</a:t>
          </a:r>
        </a:p>
      </xdr:txBody>
    </xdr:sp>
    <xdr:clientData/>
  </xdr:oneCellAnchor>
  <xdr:oneCellAnchor>
    <xdr:from>
      <xdr:col>1</xdr:col>
      <xdr:colOff>0</xdr:colOff>
      <xdr:row>64</xdr:row>
      <xdr:rowOff>0</xdr:rowOff>
    </xdr:from>
    <xdr:ext cx="9026830" cy="559192"/>
    <xdr:sp macro="" textlink="">
      <xdr:nvSpPr>
        <xdr:cNvPr id="8" name="テキスト ボックス 7">
          <a:extLst>
            <a:ext uri="{FF2B5EF4-FFF2-40B4-BE49-F238E27FC236}">
              <a16:creationId xmlns:a16="http://schemas.microsoft.com/office/drawing/2014/main" id="{C895E1D3-D6E8-44CF-AE8C-52350E74E145}"/>
            </a:ext>
          </a:extLst>
        </xdr:cNvPr>
        <xdr:cNvSpPr txBox="1"/>
      </xdr:nvSpPr>
      <xdr:spPr>
        <a:xfrm>
          <a:off x="133350" y="15278100"/>
          <a:ext cx="9026830" cy="559192"/>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実績表</a:t>
          </a:r>
          <a:r>
            <a:rPr kumimoji="1" lang="en-US" altLang="ja-JP" sz="2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2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を入力することで、自動でデータが反映されます</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9</xdr:col>
      <xdr:colOff>182217</xdr:colOff>
      <xdr:row>2</xdr:row>
      <xdr:rowOff>0</xdr:rowOff>
    </xdr:from>
    <xdr:to>
      <xdr:col>16</xdr:col>
      <xdr:colOff>611258</xdr:colOff>
      <xdr:row>10</xdr:row>
      <xdr:rowOff>122720</xdr:rowOff>
    </xdr:to>
    <xdr:sp macro="" textlink="">
      <xdr:nvSpPr>
        <xdr:cNvPr id="3" name="正方形/長方形 2">
          <a:extLst>
            <a:ext uri="{FF2B5EF4-FFF2-40B4-BE49-F238E27FC236}">
              <a16:creationId xmlns:a16="http://schemas.microsoft.com/office/drawing/2014/main" id="{CE3AFCBA-57E1-49C7-A987-6D548E9C2632}"/>
            </a:ext>
          </a:extLst>
        </xdr:cNvPr>
        <xdr:cNvSpPr/>
      </xdr:nvSpPr>
      <xdr:spPr>
        <a:xfrm>
          <a:off x="6443869" y="331304"/>
          <a:ext cx="4777411" cy="189519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以下の基準で評価し、評価欄に記入して下さい。</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・すでに取り組んでいる項目　・・・・・・・・・・・・・・・・　○</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・ある程度取り組んでいるが、さらに取組が必要な項目　・・・・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・取り組んでいない項目　・・・・・・・・・・・・・・・・・・　</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・事業所の業務に関連がないと判断できる項目・・・・・・・・・　／</a:t>
          </a:r>
        </a:p>
        <a:p>
          <a:pPr algn="l"/>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182219</xdr:colOff>
      <xdr:row>2</xdr:row>
      <xdr:rowOff>0</xdr:rowOff>
    </xdr:from>
    <xdr:to>
      <xdr:col>16</xdr:col>
      <xdr:colOff>608085</xdr:colOff>
      <xdr:row>10</xdr:row>
      <xdr:rowOff>122720</xdr:rowOff>
    </xdr:to>
    <xdr:sp macro="" textlink="">
      <xdr:nvSpPr>
        <xdr:cNvPr id="3" name="正方形/長方形 2">
          <a:extLst>
            <a:ext uri="{FF2B5EF4-FFF2-40B4-BE49-F238E27FC236}">
              <a16:creationId xmlns:a16="http://schemas.microsoft.com/office/drawing/2014/main" id="{7016E64C-E5D3-46A4-9ED4-008EAF066155}"/>
            </a:ext>
          </a:extLst>
        </xdr:cNvPr>
        <xdr:cNvSpPr/>
      </xdr:nvSpPr>
      <xdr:spPr>
        <a:xfrm>
          <a:off x="6659219" y="331304"/>
          <a:ext cx="4774236" cy="189519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以下の基準で評価し、評価欄に記入して下さい。</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・すでに取り組んでいる項目　・・・・・・・・・・・・・・・・　○</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・ある程度取り組んでいるが、さらに取組が必要な項目　・・・・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・取り組んでいない項目　・・・・・・・・・・・・・・・・・・　</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・事業所の業務に関連がないと判断できる項目・・・・・・・・・　／</a:t>
          </a:r>
        </a:p>
        <a:p>
          <a:pPr algn="l"/>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476250</xdr:colOff>
      <xdr:row>0</xdr:row>
      <xdr:rowOff>85724</xdr:rowOff>
    </xdr:from>
    <xdr:to>
      <xdr:col>8</xdr:col>
      <xdr:colOff>4457700</xdr:colOff>
      <xdr:row>1</xdr:row>
      <xdr:rowOff>200025</xdr:rowOff>
    </xdr:to>
    <xdr:sp macro="" textlink="">
      <xdr:nvSpPr>
        <xdr:cNvPr id="2" name="テキスト ボックス 1">
          <a:extLst>
            <a:ext uri="{FF2B5EF4-FFF2-40B4-BE49-F238E27FC236}">
              <a16:creationId xmlns:a16="http://schemas.microsoft.com/office/drawing/2014/main" id="{6E988CE1-E6F5-4A77-8A6E-547B28CF11A3}"/>
            </a:ext>
          </a:extLst>
        </xdr:cNvPr>
        <xdr:cNvSpPr txBox="1"/>
      </xdr:nvSpPr>
      <xdr:spPr>
        <a:xfrm>
          <a:off x="4600575" y="85724"/>
          <a:ext cx="5695950" cy="61912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シート上では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年の係数を初期値として、共通の係数で年次比較することとしています。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特に必要がある場合のみ書き換えてください。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742950</xdr:colOff>
      <xdr:row>0</xdr:row>
      <xdr:rowOff>395287</xdr:rowOff>
    </xdr:from>
    <xdr:to>
      <xdr:col>6</xdr:col>
      <xdr:colOff>476250</xdr:colOff>
      <xdr:row>1</xdr:row>
      <xdr:rowOff>238125</xdr:rowOff>
    </xdr:to>
    <xdr:cxnSp macro="">
      <xdr:nvCxnSpPr>
        <xdr:cNvPr id="4" name="直線矢印コネクタ 3">
          <a:extLst>
            <a:ext uri="{FF2B5EF4-FFF2-40B4-BE49-F238E27FC236}">
              <a16:creationId xmlns:a16="http://schemas.microsoft.com/office/drawing/2014/main" id="{6F744DDB-1BA9-0F0F-6D10-57A05415A222}"/>
            </a:ext>
          </a:extLst>
        </xdr:cNvPr>
        <xdr:cNvCxnSpPr>
          <a:stCxn id="2" idx="1"/>
        </xdr:cNvCxnSpPr>
      </xdr:nvCxnSpPr>
      <xdr:spPr>
        <a:xfrm flipH="1">
          <a:off x="4010025" y="395287"/>
          <a:ext cx="590550" cy="3476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xdr:col>
      <xdr:colOff>47626</xdr:colOff>
      <xdr:row>20</xdr:row>
      <xdr:rowOff>123827</xdr:rowOff>
    </xdr:from>
    <xdr:to>
      <xdr:col>9</xdr:col>
      <xdr:colOff>676275</xdr:colOff>
      <xdr:row>56</xdr:row>
      <xdr:rowOff>93435</xdr:rowOff>
    </xdr:to>
    <xdr:pic>
      <xdr:nvPicPr>
        <xdr:cNvPr id="6" name="図 5">
          <a:extLst>
            <a:ext uri="{FF2B5EF4-FFF2-40B4-BE49-F238E27FC236}">
              <a16:creationId xmlns:a16="http://schemas.microsoft.com/office/drawing/2014/main" id="{F83D9E29-3188-727B-07EE-707D8483A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6" y="7086602"/>
          <a:ext cx="11506199" cy="5456008"/>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114301</xdr:colOff>
      <xdr:row>1</xdr:row>
      <xdr:rowOff>206810</xdr:rowOff>
    </xdr:from>
    <xdr:ext cx="5632450" cy="5000189"/>
    <xdr:sp macro="" textlink="">
      <xdr:nvSpPr>
        <xdr:cNvPr id="3" name="テキスト ボックス 2">
          <a:extLst>
            <a:ext uri="{FF2B5EF4-FFF2-40B4-BE49-F238E27FC236}">
              <a16:creationId xmlns:a16="http://schemas.microsoft.com/office/drawing/2014/main" id="{64E859FE-59F9-48EB-B999-ABE099520CC5}"/>
            </a:ext>
          </a:extLst>
        </xdr:cNvPr>
        <xdr:cNvSpPr txBox="1"/>
      </xdr:nvSpPr>
      <xdr:spPr>
        <a:xfrm>
          <a:off x="114301" y="502085"/>
          <a:ext cx="5632450" cy="5000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b="1">
              <a:solidFill>
                <a:srgbClr val="0000FF"/>
              </a:solidFill>
              <a:effectLst/>
              <a:latin typeface="ＭＳ Ｐゴシック" panose="020B0600070205080204" pitchFamily="50" charset="-128"/>
              <a:ea typeface="ＭＳ Ｐゴシック" panose="020B0600070205080204" pitchFamily="50" charset="-128"/>
              <a:cs typeface="+mn-cs"/>
            </a:rPr>
            <a:t>設備等の更新や新規導入を検討する際の簡易な試算を、</a:t>
          </a:r>
          <a:r>
            <a:rPr lang="ja-JP" altLang="en-US" sz="1100" b="1">
              <a:solidFill>
                <a:srgbClr val="0000FF"/>
              </a:solidFill>
              <a:effectLst/>
              <a:latin typeface="ＭＳ Ｐゴシック" panose="020B0600070205080204" pitchFamily="50" charset="-128"/>
              <a:ea typeface="ＭＳ Ｐゴシック" panose="020B0600070205080204" pitchFamily="50" charset="-128"/>
              <a:cs typeface="+mn-cs"/>
            </a:rPr>
            <a:t>シート上</a:t>
          </a:r>
          <a:r>
            <a:rPr lang="ja-JP" altLang="ja-JP" sz="1100" b="1">
              <a:solidFill>
                <a:srgbClr val="0000FF"/>
              </a:solidFill>
              <a:effectLst/>
              <a:latin typeface="ＭＳ Ｐゴシック" panose="020B0600070205080204" pitchFamily="50" charset="-128"/>
              <a:ea typeface="ＭＳ Ｐゴシック" panose="020B0600070205080204" pitchFamily="50" charset="-128"/>
              <a:cs typeface="+mn-cs"/>
            </a:rPr>
            <a:t>で行うことが</a:t>
          </a:r>
          <a:r>
            <a:rPr lang="ja-JP" altLang="en-US" sz="1100" b="1">
              <a:solidFill>
                <a:srgbClr val="0000FF"/>
              </a:solidFill>
              <a:effectLst/>
              <a:latin typeface="ＭＳ Ｐゴシック" panose="020B0600070205080204" pitchFamily="50" charset="-128"/>
              <a:ea typeface="ＭＳ Ｐゴシック" panose="020B0600070205080204" pitchFamily="50" charset="-128"/>
              <a:cs typeface="+mn-cs"/>
            </a:rPr>
            <a:t>できます。</a:t>
          </a:r>
          <a:endParaRPr lang="en-US" altLang="ja-JP" sz="1100" b="1">
            <a:solidFill>
              <a:srgbClr val="0000FF"/>
            </a:solidFill>
            <a:effectLst/>
            <a:latin typeface="ＭＳ Ｐゴシック" panose="020B0600070205080204" pitchFamily="50" charset="-128"/>
            <a:ea typeface="ＭＳ Ｐゴシック" panose="020B0600070205080204" pitchFamily="50" charset="-128"/>
            <a:cs typeface="+mn-cs"/>
          </a:endParaRPr>
        </a:p>
        <a:p>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実績</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表</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」に入力したエネルギー使用量と、新たに入力する光熱費、導入する設備の仕様などをもとに、二酸化炭素排出量や光熱費の増減といった、設備導入の効果を試算することができ</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、全体の試算結果は「</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結果</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簡易診断シート」にまとめられます。</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以下の設備等を対象にシートが用意されていますので、ぜひ活用してください。</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１）</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自動車</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照明機器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３）</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空調設備（電気）</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４）空調設備（</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GHP</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５）</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ボイラー・給湯器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６）</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モーター（コンプレッサー等）</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７）</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変圧器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８）</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冷凍庫・冷蔵庫</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９）</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太陽光発電設備</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小水力発電設備</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蓄電池</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その他産業設備（</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電気式から更新</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800">
              <a:solidFill>
                <a:schemeClr val="tx1"/>
              </a:solidFill>
              <a:effectLst/>
              <a:latin typeface="ＭＳ Ｐゴシック" panose="020B0600070205080204" pitchFamily="50" charset="-128"/>
              <a:ea typeface="ＭＳ Ｐゴシック" panose="020B0600070205080204" pitchFamily="50" charset="-128"/>
              <a:cs typeface="+mn-cs"/>
            </a:rPr>
            <a:t>汎用フォーマット</a:t>
          </a:r>
          <a:endParaRPr lang="en-US" altLang="ja-JP" sz="8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）その他産業設備（燃料式から更新）　</a:t>
          </a:r>
          <a:r>
            <a:rPr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800">
              <a:solidFill>
                <a:schemeClr val="tx1"/>
              </a:solidFill>
              <a:effectLst/>
              <a:latin typeface="ＭＳ Ｐゴシック" panose="020B0600070205080204" pitchFamily="50" charset="-128"/>
              <a:ea typeface="ＭＳ Ｐゴシック" panose="020B0600070205080204" pitchFamily="50" charset="-128"/>
              <a:cs typeface="+mn-cs"/>
            </a:rPr>
            <a:t>汎用フォーマット</a:t>
          </a:r>
          <a:endParaRPr lang="ja-JP" altLang="ja-JP" sz="8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u="sng">
              <a:solidFill>
                <a:schemeClr val="tx1"/>
              </a:solidFill>
              <a:effectLst/>
              <a:latin typeface="ＭＳ Ｐゴシック" panose="020B0600070205080204" pitchFamily="50" charset="-128"/>
              <a:ea typeface="ＭＳ Ｐゴシック" panose="020B0600070205080204" pitchFamily="50" charset="-128"/>
              <a:cs typeface="+mn-cs"/>
            </a:rPr>
            <a:t>登録（新規・更新）申請時</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に、既に作成したものがある場合は</a:t>
          </a:r>
          <a:r>
            <a:rPr lang="ja-JP" altLang="ja-JP" sz="1100" u="sng">
              <a:solidFill>
                <a:schemeClr val="tx1"/>
              </a:solidFill>
              <a:effectLst/>
              <a:latin typeface="ＭＳ Ｐゴシック" panose="020B0600070205080204" pitchFamily="50" charset="-128"/>
              <a:ea typeface="ＭＳ Ｐゴシック" panose="020B0600070205080204" pitchFamily="50" charset="-128"/>
              <a:cs typeface="+mn-cs"/>
            </a:rPr>
            <a:t>提出</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してください</a:t>
          </a:r>
          <a:endParaRPr kumimoji="1" lang="en-US" altLang="ja-JP" sz="3600" kern="12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あくまで簡易の試算です</a:t>
          </a:r>
          <a:endParaRPr lang="en-US" altLang="ja-JP" sz="1100" u="sng">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シートの活用が難しい設備を検討する際や、より詳細な効果を知りたい場合には、専門家</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による省エネ診断を受診したり、メーカー等へ相談するなどしてください</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0</xdr:colOff>
      <xdr:row>1</xdr:row>
      <xdr:rowOff>0</xdr:rowOff>
    </xdr:from>
    <xdr:ext cx="4777205" cy="2993127"/>
    <xdr:sp macro="" textlink="">
      <xdr:nvSpPr>
        <xdr:cNvPr id="2" name="テキスト ボックス 1">
          <a:extLst>
            <a:ext uri="{FF2B5EF4-FFF2-40B4-BE49-F238E27FC236}">
              <a16:creationId xmlns:a16="http://schemas.microsoft.com/office/drawing/2014/main" id="{F8B1AB2B-85A4-4863-B1CA-59C3506F4EBC}"/>
            </a:ext>
          </a:extLst>
        </xdr:cNvPr>
        <xdr:cNvSpPr txBox="1"/>
      </xdr:nvSpPr>
      <xdr:spPr>
        <a:xfrm>
          <a:off x="6572250" y="295275"/>
          <a:ext cx="4777205" cy="299312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簡易診断シート活用の手順</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①「実績表２」へ入力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「実績表２」の「①エネルギー使用量の入力表」に入力された「開始年月」と</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「使用量（下段の直近１年分のみ）」をもとに、光熱費が試算されますので、</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「実績表２」の入力状況もご確認ください</a:t>
          </a:r>
        </a:p>
        <a:p>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100" b="1" kern="1200">
              <a:solidFill>
                <a:schemeClr val="tx1"/>
              </a:solidFill>
              <a:latin typeface="ＭＳ Ｐゴシック" panose="020B0600070205080204" pitchFamily="50" charset="-128"/>
              <a:ea typeface="ＭＳ Ｐゴシック" panose="020B0600070205080204" pitchFamily="50" charset="-128"/>
            </a:rPr>
            <a:t>簡易診断シートの試算のみを行う場合も、上記２か所の入力が必要です</a:t>
          </a: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②「</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共通</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事業所の光熱費」へ入力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③試算する「設備ごとのシート」へ入力</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⇒試算結果は「</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結果</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簡易診断シート」に反映されます</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C451-9267-463A-B2D1-B07F42B36E70}">
  <sheetPr codeName="Sheet2">
    <tabColor rgb="FFFFFF00"/>
    <pageSetUpPr fitToPage="1"/>
  </sheetPr>
  <dimension ref="A1:T21"/>
  <sheetViews>
    <sheetView showGridLines="0" tabSelected="1" zoomScaleNormal="100" zoomScaleSheetLayoutView="100" zoomScalePageLayoutView="85" workbookViewId="0"/>
  </sheetViews>
  <sheetFormatPr defaultColWidth="8.83203125" defaultRowHeight="19.899999999999999" customHeight="1"/>
  <cols>
    <col min="1" max="1" width="12.58203125" style="1" customWidth="1"/>
    <col min="2" max="2" width="14.58203125" style="1" customWidth="1"/>
    <col min="3" max="4" width="8.83203125" style="1"/>
    <col min="5" max="6" width="8.08203125" style="1" customWidth="1"/>
    <col min="7" max="7" width="8.83203125" style="1"/>
    <col min="8" max="8" width="7.25" style="1" customWidth="1"/>
    <col min="9" max="9" width="8.08203125" style="1" customWidth="1"/>
    <col min="10" max="10" width="8.83203125" style="1"/>
    <col min="21" max="16384" width="8.83203125" style="1"/>
  </cols>
  <sheetData>
    <row r="1" spans="1:12" s="35" customFormat="1" ht="22.5" customHeight="1">
      <c r="A1" s="686" t="s">
        <v>1177</v>
      </c>
      <c r="B1" s="39"/>
      <c r="C1" s="39"/>
      <c r="D1" s="39"/>
      <c r="G1" s="39"/>
      <c r="H1" s="39"/>
      <c r="I1" s="34"/>
      <c r="J1" s="34"/>
    </row>
    <row r="2" spans="1:12" s="35" customFormat="1" ht="5.15" customHeight="1">
      <c r="A2" s="41"/>
      <c r="B2" s="39"/>
      <c r="C2" s="39"/>
      <c r="D2" s="39"/>
      <c r="E2" s="682"/>
      <c r="F2" s="39"/>
      <c r="G2" s="39"/>
      <c r="H2" s="39"/>
      <c r="I2" s="34"/>
      <c r="J2" s="34"/>
    </row>
    <row r="3" spans="1:12" ht="33" customHeight="1">
      <c r="A3" s="1470" t="s">
        <v>29</v>
      </c>
      <c r="B3" s="1470"/>
      <c r="C3" s="1470"/>
      <c r="D3" s="1472"/>
      <c r="E3" s="1473"/>
      <c r="F3" s="1473"/>
      <c r="G3" s="1473"/>
      <c r="H3" s="1473"/>
      <c r="I3" s="1474"/>
    </row>
    <row r="4" spans="1:12" ht="33" customHeight="1">
      <c r="A4" s="1470" t="s">
        <v>30</v>
      </c>
      <c r="B4" s="1470"/>
      <c r="C4" s="1470"/>
      <c r="D4" s="1472"/>
      <c r="E4" s="1473"/>
      <c r="F4" s="1473"/>
      <c r="G4" s="1473"/>
      <c r="H4" s="1473"/>
      <c r="I4" s="1474"/>
      <c r="K4" s="439" t="s">
        <v>43</v>
      </c>
      <c r="L4" s="440" t="s">
        <v>668</v>
      </c>
    </row>
    <row r="5" spans="1:12" ht="33" customHeight="1">
      <c r="A5" s="1444" t="s">
        <v>31</v>
      </c>
      <c r="B5" s="1448"/>
      <c r="C5" s="1445"/>
      <c r="D5" s="1475"/>
      <c r="E5" s="1476"/>
      <c r="F5" s="683" t="s">
        <v>82</v>
      </c>
      <c r="G5" s="684"/>
      <c r="H5" s="684"/>
      <c r="I5" s="685"/>
    </row>
    <row r="6" spans="1:12" ht="33" customHeight="1">
      <c r="A6" s="1444" t="s">
        <v>32</v>
      </c>
      <c r="B6" s="1448"/>
      <c r="C6" s="1445"/>
      <c r="D6" s="1459"/>
      <c r="E6" s="1460"/>
      <c r="F6" s="683" t="s">
        <v>83</v>
      </c>
      <c r="G6" s="684"/>
      <c r="H6" s="684"/>
      <c r="I6" s="685"/>
    </row>
    <row r="7" spans="1:12" ht="33" customHeight="1">
      <c r="A7" s="1444" t="s">
        <v>1192</v>
      </c>
      <c r="B7" s="1448"/>
      <c r="C7" s="1445"/>
      <c r="D7" s="1459"/>
      <c r="E7" s="1460"/>
      <c r="F7" s="683" t="s">
        <v>83</v>
      </c>
      <c r="G7" s="684"/>
      <c r="H7" s="684"/>
      <c r="I7" s="685"/>
    </row>
    <row r="8" spans="1:12" ht="33" customHeight="1">
      <c r="A8" s="1444" t="s">
        <v>33</v>
      </c>
      <c r="B8" s="1448"/>
      <c r="C8" s="1445"/>
      <c r="D8" s="1459"/>
      <c r="E8" s="1460"/>
      <c r="F8" s="683" t="s">
        <v>84</v>
      </c>
      <c r="G8" s="684"/>
      <c r="H8" s="684"/>
      <c r="I8" s="685"/>
    </row>
    <row r="9" spans="1:12" ht="33" customHeight="1">
      <c r="A9" s="1444" t="s">
        <v>34</v>
      </c>
      <c r="B9" s="1448"/>
      <c r="C9" s="1445"/>
      <c r="D9" s="1459"/>
      <c r="E9" s="1460"/>
      <c r="F9" s="683" t="s">
        <v>85</v>
      </c>
      <c r="G9" s="684"/>
      <c r="H9" s="684"/>
      <c r="I9" s="685"/>
    </row>
    <row r="10" spans="1:12" ht="33" customHeight="1">
      <c r="A10" s="1449" t="s">
        <v>930</v>
      </c>
      <c r="B10" s="1450"/>
      <c r="C10" s="1451"/>
      <c r="D10" s="1461"/>
      <c r="E10" s="1462"/>
      <c r="F10" s="1462"/>
      <c r="G10" s="1462"/>
      <c r="H10" s="1462"/>
      <c r="I10" s="1463"/>
    </row>
    <row r="11" spans="1:12" ht="17.149999999999999" customHeight="1">
      <c r="A11" s="1452"/>
      <c r="B11" s="1453"/>
      <c r="C11" s="1454"/>
      <c r="D11" s="1464" t="s">
        <v>932</v>
      </c>
      <c r="E11" s="1465"/>
      <c r="F11" s="1465"/>
      <c r="G11" s="1465"/>
      <c r="H11" s="1465"/>
      <c r="I11" s="1466"/>
    </row>
    <row r="12" spans="1:12" ht="33" customHeight="1">
      <c r="A12" s="1455"/>
      <c r="B12" s="1456"/>
      <c r="C12" s="1457"/>
      <c r="D12" s="1467"/>
      <c r="E12" s="1468"/>
      <c r="F12" s="1468"/>
      <c r="G12" s="1468"/>
      <c r="H12" s="1468"/>
      <c r="I12" s="1469"/>
    </row>
    <row r="14" spans="1:12" ht="19.899999999999999" customHeight="1">
      <c r="A14" s="686" t="s">
        <v>35</v>
      </c>
      <c r="E14" s="40"/>
      <c r="H14" s="40"/>
    </row>
    <row r="15" spans="1:12" ht="17.5" customHeight="1">
      <c r="A15" s="1471"/>
      <c r="B15" s="1444" t="s">
        <v>1169</v>
      </c>
      <c r="C15" s="1445"/>
      <c r="D15" s="1470" t="s">
        <v>928</v>
      </c>
      <c r="E15" s="1470"/>
      <c r="F15" s="1470"/>
      <c r="G15" s="1470" t="s">
        <v>929</v>
      </c>
      <c r="H15" s="1470"/>
      <c r="I15" s="1470"/>
    </row>
    <row r="16" spans="1:12" s="2" customFormat="1" ht="21.65" customHeight="1">
      <c r="A16" s="1471"/>
      <c r="B16" s="966" t="s">
        <v>15</v>
      </c>
      <c r="C16" s="966" t="s">
        <v>7</v>
      </c>
      <c r="D16" s="691" t="s">
        <v>38</v>
      </c>
      <c r="E16" s="887" t="str">
        <f>IF(H16-1&lt;0,"",H16-1)</f>
        <v/>
      </c>
      <c r="F16" s="602" t="s">
        <v>770</v>
      </c>
      <c r="G16" s="692" t="s">
        <v>38</v>
      </c>
      <c r="H16" s="695"/>
      <c r="I16" s="602" t="s">
        <v>770</v>
      </c>
    </row>
    <row r="17" spans="1:9" ht="27" customHeight="1">
      <c r="A17" s="694" t="s">
        <v>1170</v>
      </c>
      <c r="B17" s="693" t="s">
        <v>40</v>
      </c>
      <c r="C17" s="693" t="s">
        <v>39</v>
      </c>
      <c r="D17" s="1458"/>
      <c r="E17" s="1458"/>
      <c r="F17" s="1458"/>
      <c r="G17" s="1458"/>
      <c r="H17" s="1458"/>
      <c r="I17" s="1458"/>
    </row>
    <row r="18" spans="1:9" ht="27" customHeight="1">
      <c r="A18" s="694" t="s">
        <v>1171</v>
      </c>
      <c r="B18" s="693" t="s">
        <v>41</v>
      </c>
      <c r="C18" s="693" t="s">
        <v>83</v>
      </c>
      <c r="D18" s="1458"/>
      <c r="E18" s="1458"/>
      <c r="F18" s="1458"/>
      <c r="G18" s="1458"/>
      <c r="H18" s="1458"/>
      <c r="I18" s="1458"/>
    </row>
    <row r="19" spans="1:9" ht="40.9" customHeight="1">
      <c r="A19" s="1446" t="s">
        <v>1178</v>
      </c>
      <c r="B19" s="1447"/>
      <c r="C19" s="1447"/>
      <c r="D19" s="1447"/>
      <c r="E19" s="1447"/>
      <c r="F19" s="1447"/>
      <c r="G19" s="1447"/>
      <c r="H19" s="1447"/>
      <c r="I19" s="1447"/>
    </row>
    <row r="20" spans="1:9" ht="33" customHeight="1"/>
    <row r="21" spans="1:9" ht="33" customHeight="1"/>
  </sheetData>
  <protectedRanges>
    <protectedRange sqref="D3:I4 D5:E9 D10:I10 D12:I12 H16 B17:I18" name="範囲1"/>
  </protectedRanges>
  <mergeCells count="27">
    <mergeCell ref="A3:C3"/>
    <mergeCell ref="D3:I3"/>
    <mergeCell ref="A4:C4"/>
    <mergeCell ref="D4:I4"/>
    <mergeCell ref="A5:C5"/>
    <mergeCell ref="D5:E5"/>
    <mergeCell ref="A6:C6"/>
    <mergeCell ref="A7:C7"/>
    <mergeCell ref="A8:C8"/>
    <mergeCell ref="D6:E6"/>
    <mergeCell ref="D7:E7"/>
    <mergeCell ref="D8:E8"/>
    <mergeCell ref="B15:C15"/>
    <mergeCell ref="A19:I19"/>
    <mergeCell ref="A9:C9"/>
    <mergeCell ref="A10:C12"/>
    <mergeCell ref="G18:I18"/>
    <mergeCell ref="D18:F18"/>
    <mergeCell ref="G17:I17"/>
    <mergeCell ref="D17:F17"/>
    <mergeCell ref="D9:E9"/>
    <mergeCell ref="D10:I10"/>
    <mergeCell ref="D11:I11"/>
    <mergeCell ref="D12:I12"/>
    <mergeCell ref="D15:F15"/>
    <mergeCell ref="G15:I15"/>
    <mergeCell ref="A15:A16"/>
  </mergeCells>
  <phoneticPr fontId="2"/>
  <dataValidations count="1">
    <dataValidation type="list" allowBlank="1" showInputMessage="1" showErrorMessage="1" sqref="D10" xr:uid="{A9A2D4C8-707A-4898-B062-6D9019839100}">
      <formula1>" 農林水産業,鉱業,建設業,製造業,電気･ガス･熱供給･水道業,情報通信業,運輸業・郵便業,卸売業・小売業, 金融業・保険業,不動産業,宿泊業・飲食業,教育・学習支援業,医療・福祉,サービス業,公務,その他"</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50283-4B60-48B0-9481-38942EAFE40A}">
  <sheetPr>
    <tabColor theme="5"/>
    <pageSetUpPr fitToPage="1"/>
  </sheetPr>
  <dimension ref="A1:H272"/>
  <sheetViews>
    <sheetView zoomScaleNormal="100" zoomScaleSheetLayoutView="100" workbookViewId="0">
      <selection sqref="A1:H1"/>
    </sheetView>
  </sheetViews>
  <sheetFormatPr defaultColWidth="9" defaultRowHeight="13"/>
  <cols>
    <col min="1" max="1" width="4.58203125" style="4" customWidth="1"/>
    <col min="2" max="2" width="24.83203125" style="4" customWidth="1"/>
    <col min="3" max="3" width="10.58203125" style="4" customWidth="1"/>
    <col min="4" max="5" width="12.5" style="4" bestFit="1" customWidth="1"/>
    <col min="6" max="6" width="12.5" style="4" customWidth="1"/>
    <col min="7" max="7" width="10.58203125" style="4" customWidth="1"/>
    <col min="8" max="8" width="4.58203125" style="4" customWidth="1"/>
    <col min="9" max="16384" width="9" style="4"/>
  </cols>
  <sheetData>
    <row r="1" spans="1:8" ht="20" customHeight="1">
      <c r="A1" s="1676" t="s">
        <v>1163</v>
      </c>
      <c r="B1" s="1676"/>
      <c r="C1" s="1676"/>
      <c r="D1" s="1676"/>
      <c r="E1" s="1676"/>
      <c r="F1" s="1676"/>
      <c r="G1" s="1676"/>
      <c r="H1" s="1676"/>
    </row>
    <row r="2" spans="1:8" ht="30.5" customHeight="1">
      <c r="A2" s="1677" t="s">
        <v>1186</v>
      </c>
      <c r="B2" s="1677"/>
      <c r="C2" s="1677"/>
      <c r="D2" s="1677"/>
      <c r="E2" s="1677"/>
      <c r="F2" s="1677"/>
      <c r="G2" s="1677"/>
      <c r="H2" s="1677"/>
    </row>
    <row r="3" spans="1:8" ht="18.75" customHeight="1">
      <c r="B3" s="79"/>
      <c r="C3" s="46" t="s">
        <v>384</v>
      </c>
      <c r="D3" s="46" t="s">
        <v>54</v>
      </c>
      <c r="E3" s="46" t="s">
        <v>74</v>
      </c>
      <c r="F3" s="46" t="s">
        <v>75</v>
      </c>
      <c r="G3" s="46" t="s">
        <v>76</v>
      </c>
    </row>
    <row r="4" spans="1:8" ht="18.75" customHeight="1">
      <c r="B4" s="79" t="s">
        <v>1073</v>
      </c>
      <c r="C4" s="79" t="s">
        <v>56</v>
      </c>
      <c r="D4" s="505">
        <f>SUMIF($B$11:$B$79,$B4,$D$11:$D$79)</f>
        <v>0</v>
      </c>
      <c r="E4" s="505">
        <f>SUMIF($B$11:$B$65,$B4,$E$11:$E$65)</f>
        <v>0</v>
      </c>
      <c r="F4" s="505">
        <f>D4-E4</f>
        <v>0</v>
      </c>
      <c r="G4" s="635">
        <f>IFERROR(IF(OR(D4=0,F4=0),0,F4/D4),"－")</f>
        <v>0</v>
      </c>
    </row>
    <row r="5" spans="1:8" ht="18.75" customHeight="1">
      <c r="B5" s="79" t="s">
        <v>87</v>
      </c>
      <c r="C5" s="79" t="s">
        <v>387</v>
      </c>
      <c r="D5" s="505">
        <f>SUMIF($B$11:$B$79,$B5,$D$11:$D$79)+D15</f>
        <v>0</v>
      </c>
      <c r="E5" s="505">
        <f>SUMIF($B$11:$B$65,$B5,$E$11:$E$65)+E15</f>
        <v>0</v>
      </c>
      <c r="F5" s="505">
        <f>D5-E5</f>
        <v>0</v>
      </c>
      <c r="G5" s="635">
        <f t="shared" ref="G5:G7" si="0">IFERROR(IF(OR(D5=0,F5=0),0,F5/D5),"－")</f>
        <v>0</v>
      </c>
    </row>
    <row r="6" spans="1:8" ht="18.75" customHeight="1">
      <c r="B6" s="79" t="s">
        <v>1071</v>
      </c>
      <c r="C6" s="79" t="s">
        <v>388</v>
      </c>
      <c r="D6" s="747">
        <f>SUMIF($B$11:$B$100,$B6,$D$11:$D$100)</f>
        <v>0</v>
      </c>
      <c r="E6" s="747">
        <f>SUMIF($B$11:$B$100,$B6,$E$11:$E$100)</f>
        <v>0</v>
      </c>
      <c r="F6" s="747">
        <f>D6-E6</f>
        <v>0</v>
      </c>
      <c r="G6" s="635">
        <f>IFERROR(IF(OR(D6=0,F6=0),0,F6/D6),"－")</f>
        <v>0</v>
      </c>
    </row>
    <row r="7" spans="1:8" ht="18.75" customHeight="1">
      <c r="B7" s="79" t="s">
        <v>1072</v>
      </c>
      <c r="C7" s="79" t="s">
        <v>56</v>
      </c>
      <c r="D7" s="505">
        <f>実績表2!P42</f>
        <v>0</v>
      </c>
      <c r="E7" s="505">
        <f>D7-F4</f>
        <v>0</v>
      </c>
      <c r="F7" s="505">
        <f>D7-E7</f>
        <v>0</v>
      </c>
      <c r="G7" s="635">
        <f t="shared" si="0"/>
        <v>0</v>
      </c>
    </row>
    <row r="8" spans="1:8" ht="16" customHeight="1"/>
    <row r="9" spans="1:8" ht="18.75" customHeight="1">
      <c r="A9" s="914" t="s">
        <v>1143</v>
      </c>
    </row>
    <row r="10" spans="1:8" s="6" customFormat="1" ht="18.75" customHeight="1">
      <c r="B10" s="79"/>
      <c r="C10" s="46" t="s">
        <v>7</v>
      </c>
      <c r="D10" s="46" t="s">
        <v>54</v>
      </c>
      <c r="E10" s="46" t="s">
        <v>385</v>
      </c>
      <c r="F10" s="46" t="s">
        <v>201</v>
      </c>
      <c r="G10" s="46" t="s">
        <v>386</v>
      </c>
    </row>
    <row r="11" spans="1:8" ht="18.75" customHeight="1">
      <c r="B11" s="79" t="s">
        <v>381</v>
      </c>
      <c r="C11" s="79" t="s">
        <v>439</v>
      </c>
      <c r="D11" s="505">
        <f>'1)自動車'!F4</f>
        <v>0</v>
      </c>
      <c r="E11" s="505">
        <f>'1)自動車'!G4</f>
        <v>0</v>
      </c>
      <c r="F11" s="505">
        <f>'1)自動車'!H4</f>
        <v>0</v>
      </c>
      <c r="G11" s="635">
        <f>IFERROR(IF(OR(D11=0,F11=0),0,F11/D11),"－")</f>
        <v>0</v>
      </c>
    </row>
    <row r="12" spans="1:8" ht="18.75" customHeight="1">
      <c r="B12" s="79" t="s">
        <v>382</v>
      </c>
      <c r="C12" s="79" t="s">
        <v>439</v>
      </c>
      <c r="D12" s="505">
        <f>'1)自動車'!F5</f>
        <v>0</v>
      </c>
      <c r="E12" s="505">
        <f>'1)自動車'!G5</f>
        <v>0</v>
      </c>
      <c r="F12" s="505">
        <f>'1)自動車'!H5</f>
        <v>0</v>
      </c>
      <c r="G12" s="635">
        <f t="shared" ref="G12:G16" si="1">IFERROR(IF(OR(D12=0,F12=0),0,F12/D12),"－")</f>
        <v>0</v>
      </c>
    </row>
    <row r="13" spans="1:8" ht="18.75" customHeight="1">
      <c r="B13" s="79" t="s">
        <v>354</v>
      </c>
      <c r="C13" s="79" t="s">
        <v>123</v>
      </c>
      <c r="D13" s="505">
        <f>'1)自動車'!F6</f>
        <v>0</v>
      </c>
      <c r="E13" s="505">
        <f>'1)自動車'!G6</f>
        <v>0</v>
      </c>
      <c r="F13" s="505">
        <f>'1)自動車'!H6</f>
        <v>0</v>
      </c>
      <c r="G13" s="635">
        <f t="shared" si="1"/>
        <v>0</v>
      </c>
    </row>
    <row r="14" spans="1:8" ht="18.75" customHeight="1">
      <c r="B14" s="79" t="s">
        <v>1074</v>
      </c>
      <c r="C14" s="79" t="s">
        <v>438</v>
      </c>
      <c r="D14" s="505">
        <f>'1)自動車'!F7</f>
        <v>0</v>
      </c>
      <c r="E14" s="505">
        <f>'1)自動車'!G7</f>
        <v>0</v>
      </c>
      <c r="F14" s="505">
        <f>'1)自動車'!H7</f>
        <v>0</v>
      </c>
      <c r="G14" s="635">
        <f t="shared" si="1"/>
        <v>0</v>
      </c>
    </row>
    <row r="15" spans="1:8" ht="18.75" customHeight="1">
      <c r="B15" s="79" t="s">
        <v>1076</v>
      </c>
      <c r="C15" s="79" t="s">
        <v>387</v>
      </c>
      <c r="D15" s="505">
        <f>'1)自動車'!F8</f>
        <v>0</v>
      </c>
      <c r="E15" s="505">
        <f>'1)自動車'!G8</f>
        <v>0</v>
      </c>
      <c r="F15" s="505">
        <f>'1)自動車'!H8</f>
        <v>0</v>
      </c>
      <c r="G15" s="635">
        <f t="shared" si="1"/>
        <v>0</v>
      </c>
    </row>
    <row r="16" spans="1:8" ht="18.649999999999999" customHeight="1">
      <c r="B16" s="79" t="s">
        <v>1071</v>
      </c>
      <c r="C16" s="79" t="s">
        <v>163</v>
      </c>
      <c r="D16" s="747">
        <f>'1)自動車'!F9</f>
        <v>0</v>
      </c>
      <c r="E16" s="747">
        <f>'1)自動車'!G9</f>
        <v>0</v>
      </c>
      <c r="F16" s="747">
        <f>'1)自動車'!H9</f>
        <v>0</v>
      </c>
      <c r="G16" s="635">
        <f t="shared" si="1"/>
        <v>0</v>
      </c>
    </row>
    <row r="17" spans="1:7" ht="16" customHeight="1"/>
    <row r="18" spans="1:7" ht="18.75" customHeight="1">
      <c r="A18" s="914" t="s">
        <v>1144</v>
      </c>
    </row>
    <row r="19" spans="1:7" ht="18.75" customHeight="1">
      <c r="B19" s="79"/>
      <c r="C19" s="46" t="s">
        <v>7</v>
      </c>
      <c r="D19" s="46" t="s">
        <v>54</v>
      </c>
      <c r="E19" s="46" t="s">
        <v>385</v>
      </c>
      <c r="F19" s="46" t="s">
        <v>201</v>
      </c>
      <c r="G19" s="46" t="s">
        <v>386</v>
      </c>
    </row>
    <row r="20" spans="1:7" ht="18.75" customHeight="1">
      <c r="B20" s="79" t="s">
        <v>69</v>
      </c>
      <c r="C20" s="46" t="s">
        <v>73</v>
      </c>
      <c r="D20" s="505">
        <f>'2)照明'!F4</f>
        <v>0</v>
      </c>
      <c r="E20" s="505">
        <f>'2)照明'!G4</f>
        <v>0</v>
      </c>
      <c r="F20" s="505">
        <f>'2)照明'!H4</f>
        <v>0</v>
      </c>
      <c r="G20" s="635">
        <f>IFERROR(IF(OR(D20=0,F20=0),0,F20/D20),"－")</f>
        <v>0</v>
      </c>
    </row>
    <row r="21" spans="1:7" ht="18.75" customHeight="1">
      <c r="B21" s="79" t="s">
        <v>1073</v>
      </c>
      <c r="C21" s="46" t="s">
        <v>72</v>
      </c>
      <c r="D21" s="505">
        <f>'2)照明'!F5</f>
        <v>0</v>
      </c>
      <c r="E21" s="505">
        <f>'2)照明'!G5</f>
        <v>0</v>
      </c>
      <c r="F21" s="505">
        <f>'2)照明'!H5</f>
        <v>0</v>
      </c>
      <c r="G21" s="635">
        <f t="shared" ref="G21:G23" si="2">IFERROR(IF(OR(D21=0,F21=0),0,F21/D21),"－")</f>
        <v>0</v>
      </c>
    </row>
    <row r="22" spans="1:7" ht="18.75" customHeight="1">
      <c r="B22" s="79" t="s">
        <v>87</v>
      </c>
      <c r="C22" s="46" t="s">
        <v>88</v>
      </c>
      <c r="D22" s="505">
        <f>'2)照明'!F6</f>
        <v>0</v>
      </c>
      <c r="E22" s="505">
        <f>'2)照明'!G6</f>
        <v>0</v>
      </c>
      <c r="F22" s="505">
        <f>'2)照明'!H6</f>
        <v>0</v>
      </c>
      <c r="G22" s="635">
        <f t="shared" si="2"/>
        <v>0</v>
      </c>
    </row>
    <row r="23" spans="1:7" ht="18.75" customHeight="1">
      <c r="B23" s="79" t="s">
        <v>1071</v>
      </c>
      <c r="C23" s="46" t="s">
        <v>163</v>
      </c>
      <c r="D23" s="747">
        <f>'2)照明'!F7</f>
        <v>0</v>
      </c>
      <c r="E23" s="747">
        <f>'2)照明'!G7</f>
        <v>0</v>
      </c>
      <c r="F23" s="747">
        <f>'2)照明'!H7</f>
        <v>0</v>
      </c>
      <c r="G23" s="635">
        <f t="shared" si="2"/>
        <v>0</v>
      </c>
    </row>
    <row r="24" spans="1:7" ht="16" customHeight="1"/>
    <row r="25" spans="1:7" ht="18.75" customHeight="1">
      <c r="A25" s="914" t="s">
        <v>1145</v>
      </c>
    </row>
    <row r="26" spans="1:7" ht="18.75" customHeight="1">
      <c r="B26" s="79"/>
      <c r="C26" s="46" t="s">
        <v>7</v>
      </c>
      <c r="D26" s="46" t="s">
        <v>54</v>
      </c>
      <c r="E26" s="46" t="s">
        <v>385</v>
      </c>
      <c r="F26" s="46" t="s">
        <v>201</v>
      </c>
      <c r="G26" s="46" t="s">
        <v>386</v>
      </c>
    </row>
    <row r="27" spans="1:7" ht="18.75" customHeight="1">
      <c r="B27" s="79" t="s">
        <v>69</v>
      </c>
      <c r="C27" s="46" t="s">
        <v>73</v>
      </c>
      <c r="D27" s="505">
        <f>'3)空調(電気)'!F4</f>
        <v>0</v>
      </c>
      <c r="E27" s="505">
        <f>'3)空調(電気)'!G4</f>
        <v>0</v>
      </c>
      <c r="F27" s="505">
        <f>'3)空調(電気)'!H4</f>
        <v>0</v>
      </c>
      <c r="G27" s="635">
        <f>IFERROR(IF(OR(D27=0,F27=0),0,F27/D27),"－")</f>
        <v>0</v>
      </c>
    </row>
    <row r="28" spans="1:7" ht="18.75" customHeight="1">
      <c r="B28" s="79" t="s">
        <v>1073</v>
      </c>
      <c r="C28" s="46" t="s">
        <v>72</v>
      </c>
      <c r="D28" s="505">
        <f>'3)空調(電気)'!F5</f>
        <v>0</v>
      </c>
      <c r="E28" s="505">
        <f>'3)空調(電気)'!G5</f>
        <v>0</v>
      </c>
      <c r="F28" s="505">
        <f>'3)空調(電気)'!H5</f>
        <v>0</v>
      </c>
      <c r="G28" s="635">
        <f t="shared" ref="G28:G30" si="3">IFERROR(IF(OR(D28=0,F28=0),0,F28/D28),"－")</f>
        <v>0</v>
      </c>
    </row>
    <row r="29" spans="1:7" ht="18.75" customHeight="1">
      <c r="B29" s="79" t="s">
        <v>87</v>
      </c>
      <c r="C29" s="46" t="s">
        <v>88</v>
      </c>
      <c r="D29" s="505">
        <f>'3)空調(電気)'!F6</f>
        <v>0</v>
      </c>
      <c r="E29" s="505">
        <f>'3)空調(電気)'!G6</f>
        <v>0</v>
      </c>
      <c r="F29" s="505">
        <f>'3)空調(電気)'!H6</f>
        <v>0</v>
      </c>
      <c r="G29" s="635">
        <f t="shared" si="3"/>
        <v>0</v>
      </c>
    </row>
    <row r="30" spans="1:7" ht="18.75" customHeight="1">
      <c r="B30" s="79" t="s">
        <v>1071</v>
      </c>
      <c r="C30" s="46" t="s">
        <v>163</v>
      </c>
      <c r="D30" s="747">
        <f>'3)空調(電気)'!F7</f>
        <v>0</v>
      </c>
      <c r="E30" s="747">
        <f>'3)空調(電気)'!G7</f>
        <v>0</v>
      </c>
      <c r="F30" s="747">
        <f>'3)空調(電気)'!H7</f>
        <v>0</v>
      </c>
      <c r="G30" s="635">
        <f t="shared" si="3"/>
        <v>0</v>
      </c>
    </row>
    <row r="31" spans="1:7" ht="16" customHeight="1"/>
    <row r="32" spans="1:7" ht="18.75" customHeight="1">
      <c r="A32" s="914" t="s">
        <v>1146</v>
      </c>
    </row>
    <row r="33" spans="1:7" ht="18.75" customHeight="1">
      <c r="B33" s="79"/>
      <c r="C33" s="46" t="s">
        <v>7</v>
      </c>
      <c r="D33" s="46" t="s">
        <v>54</v>
      </c>
      <c r="E33" s="46" t="s">
        <v>385</v>
      </c>
      <c r="F33" s="46" t="s">
        <v>201</v>
      </c>
      <c r="G33" s="46" t="s">
        <v>386</v>
      </c>
    </row>
    <row r="34" spans="1:7" ht="18.75" customHeight="1">
      <c r="B34" s="186" t="s">
        <v>69</v>
      </c>
      <c r="C34" s="46" t="s">
        <v>73</v>
      </c>
      <c r="D34" s="505">
        <f>'4)空調(GHP)'!F4</f>
        <v>0</v>
      </c>
      <c r="E34" s="505">
        <f>'4)空調(GHP)'!G4</f>
        <v>0</v>
      </c>
      <c r="F34" s="505">
        <f>'4)空調(GHP)'!H4</f>
        <v>0</v>
      </c>
      <c r="G34" s="635">
        <f>IFERROR(IF(OR(D34=0,F34=0),0,F34/D34),"－")</f>
        <v>0</v>
      </c>
    </row>
    <row r="35" spans="1:7" ht="18.75" customHeight="1">
      <c r="B35" s="186" t="s">
        <v>192</v>
      </c>
      <c r="C35" s="46" t="s">
        <v>193</v>
      </c>
      <c r="D35" s="505">
        <f>'4)空調(GHP)'!F5</f>
        <v>0</v>
      </c>
      <c r="E35" s="505">
        <f>'4)空調(GHP)'!G5</f>
        <v>0</v>
      </c>
      <c r="F35" s="505">
        <f>'4)空調(GHP)'!H5</f>
        <v>0</v>
      </c>
      <c r="G35" s="635">
        <f t="shared" ref="G35:G38" si="4">IFERROR(IF(OR(D35=0,F35=0),0,F35/D35),"－")</f>
        <v>0</v>
      </c>
    </row>
    <row r="36" spans="1:7" ht="18.75" customHeight="1">
      <c r="B36" s="79" t="s">
        <v>1073</v>
      </c>
      <c r="C36" s="46" t="s">
        <v>72</v>
      </c>
      <c r="D36" s="505">
        <f>'4)空調(GHP)'!F6</f>
        <v>0</v>
      </c>
      <c r="E36" s="505">
        <f>'4)空調(GHP)'!G6</f>
        <v>0</v>
      </c>
      <c r="F36" s="505">
        <f>'4)空調(GHP)'!H6</f>
        <v>0</v>
      </c>
      <c r="G36" s="635">
        <f t="shared" si="4"/>
        <v>0</v>
      </c>
    </row>
    <row r="37" spans="1:7" ht="18.75" customHeight="1">
      <c r="B37" s="79" t="s">
        <v>87</v>
      </c>
      <c r="C37" s="46" t="s">
        <v>88</v>
      </c>
      <c r="D37" s="505">
        <f>'4)空調(GHP)'!F7</f>
        <v>0</v>
      </c>
      <c r="E37" s="505">
        <f>'4)空調(GHP)'!G7</f>
        <v>0</v>
      </c>
      <c r="F37" s="505">
        <f>'4)空調(GHP)'!H7</f>
        <v>0</v>
      </c>
      <c r="G37" s="635">
        <f t="shared" si="4"/>
        <v>0</v>
      </c>
    </row>
    <row r="38" spans="1:7" ht="18.75" customHeight="1">
      <c r="B38" s="79" t="s">
        <v>1071</v>
      </c>
      <c r="C38" s="46" t="s">
        <v>163</v>
      </c>
      <c r="D38" s="747">
        <f>'4)空調(GHP)'!F8</f>
        <v>0</v>
      </c>
      <c r="E38" s="747">
        <f>'4)空調(GHP)'!G8</f>
        <v>0</v>
      </c>
      <c r="F38" s="747">
        <f>'4)空調(GHP)'!H8</f>
        <v>0</v>
      </c>
      <c r="G38" s="635">
        <f t="shared" si="4"/>
        <v>0</v>
      </c>
    </row>
    <row r="39" spans="1:7" ht="16" customHeight="1"/>
    <row r="40" spans="1:7" ht="18.75" customHeight="1">
      <c r="A40" s="914" t="s">
        <v>1147</v>
      </c>
    </row>
    <row r="41" spans="1:7" ht="18.75" customHeight="1">
      <c r="B41" s="79"/>
      <c r="C41" s="135" t="s">
        <v>198</v>
      </c>
      <c r="D41" s="46" t="s">
        <v>54</v>
      </c>
      <c r="E41" s="46" t="s">
        <v>385</v>
      </c>
      <c r="F41" s="46" t="s">
        <v>201</v>
      </c>
      <c r="G41" s="46" t="s">
        <v>386</v>
      </c>
    </row>
    <row r="42" spans="1:7" ht="18.75" customHeight="1">
      <c r="B42" s="79" t="s">
        <v>1073</v>
      </c>
      <c r="C42" s="172" t="s">
        <v>374</v>
      </c>
      <c r="D42" s="505">
        <f>'5)ボイラー・給湯器'!F4</f>
        <v>0</v>
      </c>
      <c r="E42" s="505">
        <f>'5)ボイラー・給湯器'!G4</f>
        <v>0</v>
      </c>
      <c r="F42" s="505">
        <f>'5)ボイラー・給湯器'!H4</f>
        <v>0</v>
      </c>
      <c r="G42" s="635">
        <f>IFERROR(IF(OR(D42=0,F42=0),0,F42/D42),"－")</f>
        <v>0</v>
      </c>
    </row>
    <row r="43" spans="1:7" ht="18.75" customHeight="1">
      <c r="B43" s="185" t="s">
        <v>232</v>
      </c>
      <c r="C43" s="135" t="s">
        <v>208</v>
      </c>
      <c r="D43" s="505" t="str">
        <f>'5)ボイラー・給湯器'!F5</f>
        <v>－</v>
      </c>
      <c r="E43" s="505" t="str">
        <f>'5)ボイラー・給湯器'!G5</f>
        <v>－</v>
      </c>
      <c r="F43" s="505" t="str">
        <f>'5)ボイラー・給湯器'!H5</f>
        <v>－</v>
      </c>
      <c r="G43" s="635" t="str">
        <f>IFERROR(IF(OR(D43=0,F43=0),0,F43/D43),"－")</f>
        <v>－</v>
      </c>
    </row>
    <row r="44" spans="1:7" ht="18.75" customHeight="1">
      <c r="B44" s="79" t="s">
        <v>1071</v>
      </c>
      <c r="C44" s="135" t="s">
        <v>209</v>
      </c>
      <c r="D44" s="747">
        <f>'5)ボイラー・給湯器'!F6</f>
        <v>0</v>
      </c>
      <c r="E44" s="747">
        <f>'5)ボイラー・給湯器'!G6</f>
        <v>0</v>
      </c>
      <c r="F44" s="747">
        <f>'5)ボイラー・給湯器'!H6</f>
        <v>0</v>
      </c>
      <c r="G44" s="635">
        <f>IFERROR(IF(OR(D44=0,F44=0),0,F44/D44),"－")</f>
        <v>0</v>
      </c>
    </row>
    <row r="45" spans="1:7" ht="4.5" customHeight="1"/>
    <row r="46" spans="1:7" ht="18.75" customHeight="1">
      <c r="A46" s="914" t="s">
        <v>1148</v>
      </c>
    </row>
    <row r="47" spans="1:7" ht="18.75" customHeight="1">
      <c r="B47" s="79"/>
      <c r="C47" s="135" t="s">
        <v>198</v>
      </c>
      <c r="D47" s="46" t="s">
        <v>54</v>
      </c>
      <c r="E47" s="46" t="s">
        <v>385</v>
      </c>
      <c r="F47" s="46" t="s">
        <v>201</v>
      </c>
      <c r="G47" s="46" t="s">
        <v>386</v>
      </c>
    </row>
    <row r="48" spans="1:7" ht="18.75" customHeight="1">
      <c r="B48" s="79" t="s">
        <v>440</v>
      </c>
      <c r="C48" s="135" t="s">
        <v>204</v>
      </c>
      <c r="D48" s="505">
        <f>'6)モーター'!F4</f>
        <v>0</v>
      </c>
      <c r="E48" s="505">
        <f>'6)モーター'!G4</f>
        <v>0</v>
      </c>
      <c r="F48" s="505">
        <f>'6)モーター'!H4</f>
        <v>0</v>
      </c>
      <c r="G48" s="635">
        <f>IFERROR(IF(OR(D48=0,F48=0),0,F48/D48),"－")</f>
        <v>0</v>
      </c>
    </row>
    <row r="49" spans="1:7" ht="18.75" customHeight="1">
      <c r="B49" s="79" t="s">
        <v>1073</v>
      </c>
      <c r="C49" s="172" t="s">
        <v>374</v>
      </c>
      <c r="D49" s="505">
        <f>'6)モーター'!F5</f>
        <v>0</v>
      </c>
      <c r="E49" s="505">
        <f>'6)モーター'!G5</f>
        <v>0</v>
      </c>
      <c r="F49" s="505">
        <f>'6)モーター'!H5</f>
        <v>0</v>
      </c>
      <c r="G49" s="635">
        <f t="shared" ref="G49:G51" si="5">IFERROR(IF(OR(D49=0,F49=0),0,F49/D49),"－")</f>
        <v>0</v>
      </c>
    </row>
    <row r="50" spans="1:7" ht="18.75" customHeight="1">
      <c r="B50" s="79" t="s">
        <v>87</v>
      </c>
      <c r="C50" s="135" t="s">
        <v>208</v>
      </c>
      <c r="D50" s="505">
        <f>'6)モーター'!F6</f>
        <v>0</v>
      </c>
      <c r="E50" s="505">
        <f>'6)モーター'!G6</f>
        <v>0</v>
      </c>
      <c r="F50" s="505">
        <f>'6)モーター'!H6</f>
        <v>0</v>
      </c>
      <c r="G50" s="635">
        <f t="shared" si="5"/>
        <v>0</v>
      </c>
    </row>
    <row r="51" spans="1:7" ht="18.75" customHeight="1">
      <c r="B51" s="79" t="s">
        <v>1071</v>
      </c>
      <c r="C51" s="135" t="s">
        <v>209</v>
      </c>
      <c r="D51" s="747">
        <f>'6)モーター'!F7</f>
        <v>0</v>
      </c>
      <c r="E51" s="747">
        <f>'6)モーター'!G7</f>
        <v>0</v>
      </c>
      <c r="F51" s="747">
        <f>'6)モーター'!H7</f>
        <v>0</v>
      </c>
      <c r="G51" s="635">
        <f t="shared" si="5"/>
        <v>0</v>
      </c>
    </row>
    <row r="52" spans="1:7" ht="18.75" customHeight="1"/>
    <row r="53" spans="1:7" ht="18.75" customHeight="1">
      <c r="A53" s="914" t="s">
        <v>1149</v>
      </c>
    </row>
    <row r="54" spans="1:7" ht="18.75" customHeight="1">
      <c r="B54" s="79"/>
      <c r="C54" s="135" t="s">
        <v>198</v>
      </c>
      <c r="D54" s="135" t="s">
        <v>199</v>
      </c>
      <c r="E54" s="135" t="s">
        <v>200</v>
      </c>
      <c r="F54" s="135" t="s">
        <v>201</v>
      </c>
      <c r="G54" s="136" t="s">
        <v>202</v>
      </c>
    </row>
    <row r="55" spans="1:7" ht="18.75" customHeight="1">
      <c r="B55" s="79" t="s">
        <v>203</v>
      </c>
      <c r="C55" s="135" t="s">
        <v>204</v>
      </c>
      <c r="D55" s="505">
        <f>'7)変圧器'!F4</f>
        <v>0</v>
      </c>
      <c r="E55" s="505">
        <f>'7)変圧器'!G4</f>
        <v>0</v>
      </c>
      <c r="F55" s="505">
        <f>'7)変圧器'!H4</f>
        <v>0</v>
      </c>
      <c r="G55" s="635">
        <f>IFERROR(IF(OR(D55=0,F55=0),0,F55/D55),"－")</f>
        <v>0</v>
      </c>
    </row>
    <row r="56" spans="1:7" ht="18.75" customHeight="1">
      <c r="B56" s="79" t="s">
        <v>1073</v>
      </c>
      <c r="C56" s="138" t="s">
        <v>206</v>
      </c>
      <c r="D56" s="505">
        <f>'7)変圧器'!F5</f>
        <v>0</v>
      </c>
      <c r="E56" s="505">
        <f>'7)変圧器'!G5</f>
        <v>0</v>
      </c>
      <c r="F56" s="505">
        <f>'7)変圧器'!H5</f>
        <v>0</v>
      </c>
      <c r="G56" s="635">
        <f t="shared" ref="G56:G58" si="6">IFERROR(IF(OR(D56=0,F56=0),0,F56/D56),"－")</f>
        <v>0</v>
      </c>
    </row>
    <row r="57" spans="1:7" ht="18.75" customHeight="1">
      <c r="B57" s="79" t="s">
        <v>207</v>
      </c>
      <c r="C57" s="135" t="s">
        <v>208</v>
      </c>
      <c r="D57" s="505">
        <f>'7)変圧器'!F6</f>
        <v>0</v>
      </c>
      <c r="E57" s="505">
        <f>'7)変圧器'!G6</f>
        <v>0</v>
      </c>
      <c r="F57" s="505">
        <f>'7)変圧器'!H6</f>
        <v>0</v>
      </c>
      <c r="G57" s="635">
        <f t="shared" si="6"/>
        <v>0</v>
      </c>
    </row>
    <row r="58" spans="1:7" ht="18.75" customHeight="1">
      <c r="B58" s="79" t="s">
        <v>1071</v>
      </c>
      <c r="C58" s="135" t="s">
        <v>209</v>
      </c>
      <c r="D58" s="747">
        <f>'7)変圧器'!F7</f>
        <v>0</v>
      </c>
      <c r="E58" s="747">
        <f>'7)変圧器'!G7</f>
        <v>0</v>
      </c>
      <c r="F58" s="747">
        <f>'7)変圧器'!H7</f>
        <v>0</v>
      </c>
      <c r="G58" s="635">
        <f t="shared" si="6"/>
        <v>0</v>
      </c>
    </row>
    <row r="59" spans="1:7" ht="18.75" customHeight="1"/>
    <row r="60" spans="1:7" ht="18.75" customHeight="1">
      <c r="A60" s="914" t="s">
        <v>1150</v>
      </c>
    </row>
    <row r="61" spans="1:7" ht="18.75" customHeight="1">
      <c r="B61" s="79"/>
      <c r="C61" s="135" t="s">
        <v>198</v>
      </c>
      <c r="D61" s="135" t="s">
        <v>199</v>
      </c>
      <c r="E61" s="135" t="s">
        <v>200</v>
      </c>
      <c r="F61" s="135" t="s">
        <v>201</v>
      </c>
      <c r="G61" s="136" t="s">
        <v>202</v>
      </c>
    </row>
    <row r="62" spans="1:7" ht="18.75" customHeight="1">
      <c r="B62" s="185" t="s">
        <v>203</v>
      </c>
      <c r="C62" s="135" t="s">
        <v>204</v>
      </c>
      <c r="D62" s="505">
        <f>'8)冷凍庫・冷蔵庫'!F4</f>
        <v>0</v>
      </c>
      <c r="E62" s="505">
        <f>'8)冷凍庫・冷蔵庫'!G4</f>
        <v>0</v>
      </c>
      <c r="F62" s="505">
        <f>'8)冷凍庫・冷蔵庫'!H4</f>
        <v>0</v>
      </c>
      <c r="G62" s="635">
        <f>IFERROR(IF(OR(D62=0,F62=0),0,F62/D62),"－")</f>
        <v>0</v>
      </c>
    </row>
    <row r="63" spans="1:7" ht="18.75" customHeight="1">
      <c r="B63" s="79" t="s">
        <v>1073</v>
      </c>
      <c r="C63" s="138" t="s">
        <v>374</v>
      </c>
      <c r="D63" s="505">
        <f>'8)冷凍庫・冷蔵庫'!F5</f>
        <v>0</v>
      </c>
      <c r="E63" s="505">
        <f>'8)冷凍庫・冷蔵庫'!G5</f>
        <v>0</v>
      </c>
      <c r="F63" s="505">
        <f>'8)冷凍庫・冷蔵庫'!H5</f>
        <v>0</v>
      </c>
      <c r="G63" s="635">
        <f t="shared" ref="G63:G65" si="7">IFERROR(IF(OR(D63=0,F63=0),0,F63/D63),"－")</f>
        <v>0</v>
      </c>
    </row>
    <row r="64" spans="1:7" ht="18.75" customHeight="1">
      <c r="B64" s="185" t="s">
        <v>207</v>
      </c>
      <c r="C64" s="135" t="s">
        <v>208</v>
      </c>
      <c r="D64" s="505">
        <f>'8)冷凍庫・冷蔵庫'!F6</f>
        <v>0</v>
      </c>
      <c r="E64" s="505">
        <f>'8)冷凍庫・冷蔵庫'!G6</f>
        <v>0</v>
      </c>
      <c r="F64" s="505">
        <f>'8)冷凍庫・冷蔵庫'!H6</f>
        <v>0</v>
      </c>
      <c r="G64" s="635">
        <f t="shared" si="7"/>
        <v>0</v>
      </c>
    </row>
    <row r="65" spans="1:7" ht="18.75" customHeight="1">
      <c r="B65" s="79" t="s">
        <v>1071</v>
      </c>
      <c r="C65" s="135" t="s">
        <v>209</v>
      </c>
      <c r="D65" s="747">
        <f>'8)冷凍庫・冷蔵庫'!F7</f>
        <v>0</v>
      </c>
      <c r="E65" s="747">
        <f>'8)冷凍庫・冷蔵庫'!G7</f>
        <v>0</v>
      </c>
      <c r="F65" s="747">
        <f>'8)冷凍庫・冷蔵庫'!H7</f>
        <v>0</v>
      </c>
      <c r="G65" s="635">
        <f t="shared" si="7"/>
        <v>0</v>
      </c>
    </row>
    <row r="66" spans="1:7" ht="18.75" customHeight="1"/>
    <row r="67" spans="1:7" ht="18.75" customHeight="1">
      <c r="A67" s="914" t="s">
        <v>1151</v>
      </c>
    </row>
    <row r="68" spans="1:7" ht="18.75" customHeight="1">
      <c r="B68" s="79"/>
      <c r="C68" s="135" t="s">
        <v>198</v>
      </c>
      <c r="D68" s="135" t="s">
        <v>1079</v>
      </c>
      <c r="E68" s="283" t="s">
        <v>611</v>
      </c>
      <c r="F68" s="135" t="s">
        <v>201</v>
      </c>
      <c r="G68" s="309" t="s">
        <v>202</v>
      </c>
    </row>
    <row r="69" spans="1:7" ht="18.75" customHeight="1">
      <c r="B69" s="185" t="s">
        <v>1078</v>
      </c>
      <c r="C69" s="135" t="s">
        <v>204</v>
      </c>
      <c r="D69" s="892" t="s">
        <v>45</v>
      </c>
      <c r="E69" s="505">
        <f>'9)太陽光'!F4</f>
        <v>0</v>
      </c>
      <c r="F69" s="505">
        <f>'9)太陽光'!G4</f>
        <v>0</v>
      </c>
      <c r="G69" s="748" t="s">
        <v>45</v>
      </c>
    </row>
    <row r="70" spans="1:7" ht="18.75" customHeight="1">
      <c r="B70" s="79" t="s">
        <v>1073</v>
      </c>
      <c r="C70" s="138" t="s">
        <v>374</v>
      </c>
      <c r="D70" s="892" t="s">
        <v>45</v>
      </c>
      <c r="E70" s="505">
        <f>'9)太陽光'!F5</f>
        <v>0</v>
      </c>
      <c r="F70" s="505">
        <f>'9)太陽光'!G5</f>
        <v>0</v>
      </c>
      <c r="G70" s="748" t="s">
        <v>45</v>
      </c>
    </row>
    <row r="71" spans="1:7" ht="18.75" customHeight="1">
      <c r="B71" s="185" t="s">
        <v>207</v>
      </c>
      <c r="C71" s="135" t="s">
        <v>208</v>
      </c>
      <c r="D71" s="892" t="s">
        <v>45</v>
      </c>
      <c r="E71" s="505">
        <f>'9)太陽光'!F6</f>
        <v>0</v>
      </c>
      <c r="F71" s="505">
        <f>'9)太陽光'!G6</f>
        <v>0</v>
      </c>
      <c r="G71" s="748" t="s">
        <v>45</v>
      </c>
    </row>
    <row r="72" spans="1:7" ht="18.75" customHeight="1">
      <c r="B72" s="79" t="s">
        <v>1071</v>
      </c>
      <c r="C72" s="135" t="s">
        <v>209</v>
      </c>
      <c r="D72" s="900" t="s">
        <v>45</v>
      </c>
      <c r="E72" s="747">
        <f>'9)太陽光'!F7</f>
        <v>0</v>
      </c>
      <c r="F72" s="747">
        <f>'9)太陽光'!G7</f>
        <v>0</v>
      </c>
      <c r="G72" s="748" t="s">
        <v>45</v>
      </c>
    </row>
    <row r="73" spans="1:7" ht="18.75" customHeight="1">
      <c r="G73" s="765" t="s">
        <v>1089</v>
      </c>
    </row>
    <row r="74" spans="1:7" ht="18.75" customHeight="1">
      <c r="A74" s="914" t="s">
        <v>1152</v>
      </c>
    </row>
    <row r="75" spans="1:7" ht="18.75" customHeight="1">
      <c r="B75" s="79"/>
      <c r="C75" s="135" t="s">
        <v>198</v>
      </c>
      <c r="D75" s="135" t="s">
        <v>610</v>
      </c>
      <c r="E75" s="283" t="s">
        <v>611</v>
      </c>
      <c r="F75" s="135" t="s">
        <v>201</v>
      </c>
      <c r="G75" s="309" t="s">
        <v>202</v>
      </c>
    </row>
    <row r="76" spans="1:7" ht="18.75" customHeight="1">
      <c r="B76" s="185" t="s">
        <v>1078</v>
      </c>
      <c r="C76" s="135" t="s">
        <v>204</v>
      </c>
      <c r="D76" s="892" t="s">
        <v>45</v>
      </c>
      <c r="E76" s="505">
        <f>'10)小水力'!F4</f>
        <v>0</v>
      </c>
      <c r="F76" s="505">
        <f>'10)小水力'!G4</f>
        <v>0</v>
      </c>
      <c r="G76" s="748" t="s">
        <v>45</v>
      </c>
    </row>
    <row r="77" spans="1:7" ht="18.75" customHeight="1">
      <c r="B77" s="79" t="s">
        <v>1073</v>
      </c>
      <c r="C77" s="138" t="s">
        <v>374</v>
      </c>
      <c r="D77" s="892" t="s">
        <v>45</v>
      </c>
      <c r="E77" s="505">
        <f>'10)小水力'!F5</f>
        <v>0</v>
      </c>
      <c r="F77" s="505">
        <f>'10)小水力'!G5</f>
        <v>0</v>
      </c>
      <c r="G77" s="748" t="s">
        <v>45</v>
      </c>
    </row>
    <row r="78" spans="1:7" ht="18.75" customHeight="1">
      <c r="B78" s="185" t="s">
        <v>207</v>
      </c>
      <c r="C78" s="135" t="s">
        <v>208</v>
      </c>
      <c r="D78" s="892" t="s">
        <v>45</v>
      </c>
      <c r="E78" s="505">
        <f>'10)小水力'!F6</f>
        <v>0</v>
      </c>
      <c r="F78" s="505">
        <f>'10)小水力'!G6</f>
        <v>0</v>
      </c>
      <c r="G78" s="748" t="s">
        <v>45</v>
      </c>
    </row>
    <row r="79" spans="1:7" ht="18.75" customHeight="1">
      <c r="B79" s="79" t="s">
        <v>1071</v>
      </c>
      <c r="C79" s="135" t="s">
        <v>209</v>
      </c>
      <c r="D79" s="900" t="s">
        <v>45</v>
      </c>
      <c r="E79" s="747">
        <f>'10)小水力'!F7</f>
        <v>0</v>
      </c>
      <c r="F79" s="747">
        <f>'10)小水力'!G7</f>
        <v>0</v>
      </c>
      <c r="G79" s="748" t="s">
        <v>45</v>
      </c>
    </row>
    <row r="80" spans="1:7" ht="18.75" customHeight="1">
      <c r="G80" s="765" t="s">
        <v>1089</v>
      </c>
    </row>
    <row r="81" spans="1:7" ht="18.75" customHeight="1">
      <c r="A81" s="914" t="s">
        <v>1153</v>
      </c>
    </row>
    <row r="82" spans="1:7" ht="18.75" customHeight="1">
      <c r="B82" s="79"/>
      <c r="C82" s="117" t="s">
        <v>198</v>
      </c>
      <c r="D82" s="135" t="s">
        <v>610</v>
      </c>
      <c r="E82" s="283" t="s">
        <v>611</v>
      </c>
      <c r="F82" s="135" t="s">
        <v>201</v>
      </c>
      <c r="G82" s="309" t="s">
        <v>202</v>
      </c>
    </row>
    <row r="83" spans="1:7" ht="18.75" customHeight="1">
      <c r="B83" s="115" t="s">
        <v>855</v>
      </c>
      <c r="C83" s="117" t="s">
        <v>204</v>
      </c>
      <c r="D83" s="892" t="s">
        <v>45</v>
      </c>
      <c r="E83" s="505">
        <f>'11)蓄電池'!F4</f>
        <v>0</v>
      </c>
      <c r="F83" s="505">
        <f>'11)蓄電池'!G4</f>
        <v>0</v>
      </c>
      <c r="G83" s="748" t="s">
        <v>45</v>
      </c>
    </row>
    <row r="84" spans="1:7" ht="18.75" customHeight="1">
      <c r="B84" s="79" t="s">
        <v>1073</v>
      </c>
      <c r="C84" s="120" t="s">
        <v>374</v>
      </c>
      <c r="D84" s="892" t="s">
        <v>45</v>
      </c>
      <c r="E84" s="505">
        <f>'11)蓄電池'!F5</f>
        <v>0</v>
      </c>
      <c r="F84" s="505">
        <f>'11)蓄電池'!G5</f>
        <v>0</v>
      </c>
      <c r="G84" s="748" t="s">
        <v>45</v>
      </c>
    </row>
    <row r="85" spans="1:7" ht="18.75" customHeight="1">
      <c r="B85" s="115" t="s">
        <v>207</v>
      </c>
      <c r="C85" s="117" t="s">
        <v>208</v>
      </c>
      <c r="D85" s="892" t="s">
        <v>45</v>
      </c>
      <c r="E85" s="505">
        <f>'11)蓄電池'!F6</f>
        <v>0</v>
      </c>
      <c r="F85" s="505">
        <f>'11)蓄電池'!G6</f>
        <v>0</v>
      </c>
      <c r="G85" s="748" t="s">
        <v>45</v>
      </c>
    </row>
    <row r="86" spans="1:7" ht="18.75" customHeight="1">
      <c r="B86" s="79" t="s">
        <v>1071</v>
      </c>
      <c r="C86" s="117" t="s">
        <v>209</v>
      </c>
      <c r="D86" s="900" t="s">
        <v>45</v>
      </c>
      <c r="E86" s="747">
        <f>'11)蓄電池'!F7</f>
        <v>0</v>
      </c>
      <c r="F86" s="747">
        <f>'11)蓄電池'!G7</f>
        <v>0</v>
      </c>
      <c r="G86" s="748" t="s">
        <v>45</v>
      </c>
    </row>
    <row r="87" spans="1:7" ht="18.75" customHeight="1"/>
    <row r="88" spans="1:7" ht="18.75" customHeight="1">
      <c r="A88" s="914" t="s">
        <v>1154</v>
      </c>
    </row>
    <row r="89" spans="1:7" ht="18.75" customHeight="1">
      <c r="B89" s="79"/>
      <c r="C89" s="117" t="s">
        <v>198</v>
      </c>
      <c r="D89" s="117" t="s">
        <v>610</v>
      </c>
      <c r="E89" s="121" t="s">
        <v>611</v>
      </c>
      <c r="F89" s="117" t="s">
        <v>201</v>
      </c>
      <c r="G89" s="122" t="s">
        <v>202</v>
      </c>
    </row>
    <row r="90" spans="1:7" ht="18.75" customHeight="1">
      <c r="B90" s="794" t="s">
        <v>203</v>
      </c>
      <c r="C90" s="117" t="s">
        <v>204</v>
      </c>
      <c r="D90" s="893" t="s">
        <v>45</v>
      </c>
      <c r="E90" s="893" t="s">
        <v>45</v>
      </c>
      <c r="F90" s="893" t="s">
        <v>45</v>
      </c>
      <c r="G90" s="889" t="s">
        <v>45</v>
      </c>
    </row>
    <row r="91" spans="1:7" ht="18.75" customHeight="1">
      <c r="B91" s="46" t="s">
        <v>1073</v>
      </c>
      <c r="C91" s="120" t="s">
        <v>374</v>
      </c>
      <c r="D91" s="894">
        <f>'12)その他産業設備(燃料)'!O17</f>
        <v>0</v>
      </c>
      <c r="E91" s="894">
        <f>'12)その他産業設備(燃料)'!AG17</f>
        <v>0</v>
      </c>
      <c r="F91" s="894">
        <f>'12)その他産業設備(燃料)'!H5</f>
        <v>0</v>
      </c>
      <c r="G91" s="891">
        <f>'12)その他産業設備(燃料)'!I5</f>
        <v>0</v>
      </c>
    </row>
    <row r="92" spans="1:7" ht="18.75" customHeight="1">
      <c r="B92" s="794" t="s">
        <v>207</v>
      </c>
      <c r="C92" s="117" t="s">
        <v>208</v>
      </c>
      <c r="D92" s="894">
        <f>'12)その他産業設備(燃料)'!N17</f>
        <v>0</v>
      </c>
      <c r="E92" s="894">
        <f>'12)その他産業設備(燃料)'!G6</f>
        <v>0</v>
      </c>
      <c r="F92" s="894">
        <f>'12)その他産業設備(燃料)'!H6</f>
        <v>0</v>
      </c>
      <c r="G92" s="891">
        <f>'12)その他産業設備(燃料)'!I6</f>
        <v>0</v>
      </c>
    </row>
    <row r="93" spans="1:7" ht="18.75" customHeight="1">
      <c r="B93" s="46" t="s">
        <v>1071</v>
      </c>
      <c r="C93" s="117" t="s">
        <v>209</v>
      </c>
      <c r="D93" s="902">
        <f>'12)その他産業設備(燃料)'!F7</f>
        <v>0</v>
      </c>
      <c r="E93" s="902">
        <f>'12)その他産業設備(燃料)'!G7</f>
        <v>0</v>
      </c>
      <c r="F93" s="902">
        <f>'12)その他産業設備(燃料)'!H7</f>
        <v>0</v>
      </c>
      <c r="G93" s="891">
        <f>'12)その他産業設備(燃料)'!I7</f>
        <v>0</v>
      </c>
    </row>
    <row r="94" spans="1:7" ht="18.75" customHeight="1"/>
    <row r="95" spans="1:7" ht="18.75" customHeight="1">
      <c r="A95" s="914" t="s">
        <v>1155</v>
      </c>
    </row>
    <row r="96" spans="1:7" ht="18.75" customHeight="1">
      <c r="A96" s="36"/>
      <c r="B96" s="79"/>
      <c r="C96" s="117" t="s">
        <v>198</v>
      </c>
      <c r="D96" s="117" t="s">
        <v>199</v>
      </c>
      <c r="E96" s="121" t="s">
        <v>200</v>
      </c>
      <c r="F96" s="117" t="s">
        <v>201</v>
      </c>
      <c r="G96" s="122" t="s">
        <v>202</v>
      </c>
    </row>
    <row r="97" spans="2:7" ht="18.75" customHeight="1">
      <c r="B97" s="794" t="s">
        <v>203</v>
      </c>
      <c r="C97" s="117" t="s">
        <v>204</v>
      </c>
      <c r="D97" s="893" t="s">
        <v>45</v>
      </c>
      <c r="E97" s="893" t="s">
        <v>45</v>
      </c>
      <c r="F97" s="893" t="s">
        <v>45</v>
      </c>
      <c r="G97" s="889" t="s">
        <v>45</v>
      </c>
    </row>
    <row r="98" spans="2:7" ht="18.75" customHeight="1">
      <c r="B98" s="46" t="s">
        <v>1073</v>
      </c>
      <c r="C98" s="120" t="s">
        <v>374</v>
      </c>
      <c r="D98" s="895">
        <f>'13)その他産業設備(電気)'!F5</f>
        <v>0</v>
      </c>
      <c r="E98" s="895">
        <f>'13)その他産業設備(電気)'!G5</f>
        <v>0</v>
      </c>
      <c r="F98" s="895">
        <f>'13)その他産業設備(電気)'!H5</f>
        <v>0</v>
      </c>
      <c r="G98" s="890">
        <f>IF(OR(D98=0,F98=0),0,F98/D98)</f>
        <v>0</v>
      </c>
    </row>
    <row r="99" spans="2:7" ht="18.75" customHeight="1">
      <c r="B99" s="794" t="s">
        <v>207</v>
      </c>
      <c r="C99" s="117" t="s">
        <v>208</v>
      </c>
      <c r="D99" s="895">
        <f>'13)その他産業設備(電気)'!F6</f>
        <v>0</v>
      </c>
      <c r="E99" s="895">
        <f>'13)その他産業設備(電気)'!G6</f>
        <v>0</v>
      </c>
      <c r="F99" s="895">
        <f>'13)その他産業設備(電気)'!H6</f>
        <v>0</v>
      </c>
      <c r="G99" s="890">
        <f>IF(OR(D99=0,F99=0),0,F99/D99)</f>
        <v>0</v>
      </c>
    </row>
    <row r="100" spans="2:7" ht="18.75" customHeight="1">
      <c r="B100" s="46" t="s">
        <v>1071</v>
      </c>
      <c r="C100" s="117" t="s">
        <v>209</v>
      </c>
      <c r="D100" s="903">
        <f>'13)その他産業設備(電気)'!F7</f>
        <v>0</v>
      </c>
      <c r="E100" s="903">
        <f>'13)その他産業設備(電気)'!G7</f>
        <v>0</v>
      </c>
      <c r="F100" s="903">
        <f>'13)その他産業設備(電気)'!H7</f>
        <v>0</v>
      </c>
      <c r="G100" s="890">
        <f>IF(OR(D100=0,F100=0),0,F100/D100)</f>
        <v>0</v>
      </c>
    </row>
    <row r="101" spans="2:7" ht="18.75" customHeight="1"/>
    <row r="102" spans="2:7" ht="18.75" customHeight="1"/>
    <row r="103" spans="2:7" ht="18.75" customHeight="1"/>
    <row r="104" spans="2:7" ht="18.75" customHeight="1"/>
    <row r="105" spans="2:7" ht="18.75" customHeight="1"/>
    <row r="106" spans="2:7" ht="18.75" customHeight="1"/>
    <row r="107" spans="2:7" ht="18.75" customHeight="1"/>
    <row r="108" spans="2:7" ht="18.75" customHeight="1"/>
    <row r="109" spans="2:7" ht="18.75" customHeight="1"/>
    <row r="110" spans="2:7" ht="18.75" customHeight="1"/>
    <row r="111" spans="2:7" ht="18.75" customHeight="1"/>
    <row r="112" spans="2:7"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sheetData>
  <mergeCells count="2">
    <mergeCell ref="A1:H1"/>
    <mergeCell ref="A2:H2"/>
  </mergeCells>
  <phoneticPr fontId="2"/>
  <conditionalFormatting sqref="D100:F100">
    <cfRule type="expression" dxfId="97" priority="3">
      <formula>$G$1="なし"</formula>
    </cfRule>
  </conditionalFormatting>
  <conditionalFormatting sqref="D90:G90">
    <cfRule type="expression" dxfId="96" priority="6">
      <formula>$G$1="なし"</formula>
    </cfRule>
  </conditionalFormatting>
  <conditionalFormatting sqref="D97:G97">
    <cfRule type="expression" dxfId="95" priority="2">
      <formula>$G$1="なし"</formula>
    </cfRule>
  </conditionalFormatting>
  <conditionalFormatting sqref="G4:G7 G11:G16 G20:G23 G27:G30 G34:G38 G42:G44 G48:G51 G55:G58 G62:G65 G91:G93 G98:G100">
    <cfRule type="cellIs" dxfId="94" priority="1" operator="lessThan">
      <formula>0</formula>
    </cfRule>
  </conditionalFormatting>
  <pageMargins left="0.7" right="0.7" top="0.75" bottom="0.75" header="0.3" footer="0.3"/>
  <pageSetup paperSize="9" scale="86" fitToHeight="0" orientation="portrait" r:id="rId1"/>
  <rowBreaks count="2" manualBreakCount="2">
    <brk id="45" max="7" man="1"/>
    <brk id="87" max="7" man="1"/>
  </rowBreaks>
  <ignoredErrors>
    <ignoredError sqref="G43 D5:E5"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03ACA-D808-471F-944B-4573CE61AAF7}">
  <sheetPr codeName="Sheet5">
    <tabColor rgb="FFFFFF00"/>
    <pageSetUpPr fitToPage="1"/>
  </sheetPr>
  <dimension ref="A1:P31"/>
  <sheetViews>
    <sheetView zoomScaleNormal="100" workbookViewId="0"/>
  </sheetViews>
  <sheetFormatPr defaultColWidth="9" defaultRowHeight="18"/>
  <cols>
    <col min="1" max="1" width="3.58203125" style="48" customWidth="1"/>
    <col min="2" max="2" width="10.58203125" style="48" customWidth="1"/>
    <col min="3" max="3" width="18.75" style="48" bestFit="1" customWidth="1"/>
    <col min="4" max="28" width="10.58203125" style="48" customWidth="1"/>
    <col min="29" max="30" width="9.58203125" style="48" customWidth="1"/>
    <col min="31" max="16384" width="9" style="48"/>
  </cols>
  <sheetData>
    <row r="1" spans="1:13" ht="30" customHeight="1">
      <c r="A1" s="107" t="s">
        <v>1205</v>
      </c>
    </row>
    <row r="3" spans="1:13">
      <c r="B3" s="92" t="s">
        <v>161</v>
      </c>
    </row>
    <row r="4" spans="1:13" s="4" customFormat="1" ht="21" customHeight="1">
      <c r="B4" s="19" t="s">
        <v>27</v>
      </c>
      <c r="C4" s="20"/>
      <c r="D4" s="13"/>
      <c r="E4" s="1440">
        <f>実績表2!$E$20</f>
        <v>7</v>
      </c>
      <c r="F4" s="1442">
        <f>実績表2!$E$21</f>
        <v>4</v>
      </c>
      <c r="G4" s="1441" t="s">
        <v>1206</v>
      </c>
      <c r="H4" s="1026"/>
      <c r="I4" s="1027"/>
      <c r="J4" s="595"/>
      <c r="K4" s="595"/>
      <c r="L4" s="1028"/>
      <c r="M4" s="1028"/>
    </row>
    <row r="5" spans="1:13" s="4" customFormat="1" ht="18.75" customHeight="1">
      <c r="B5" s="19" t="s">
        <v>15</v>
      </c>
      <c r="C5" s="20"/>
      <c r="D5" s="21" t="s">
        <v>9</v>
      </c>
      <c r="E5" s="22"/>
      <c r="F5" s="22" t="s">
        <v>87</v>
      </c>
      <c r="G5" s="22"/>
      <c r="H5" s="1370" t="s">
        <v>89</v>
      </c>
      <c r="I5" s="1371"/>
      <c r="J5" s="595"/>
      <c r="K5" s="595"/>
      <c r="L5" s="1028"/>
      <c r="M5" s="1028"/>
    </row>
    <row r="6" spans="1:13" s="4" customFormat="1" ht="19.5" customHeight="1">
      <c r="B6" s="13" t="s">
        <v>0</v>
      </c>
      <c r="C6" s="15" t="s">
        <v>288</v>
      </c>
      <c r="D6" s="958">
        <f>実績表2!K33</f>
        <v>0</v>
      </c>
      <c r="E6" s="3" t="s">
        <v>6</v>
      </c>
      <c r="F6" s="66">
        <f t="shared" ref="F6:F10" si="0">$P20</f>
        <v>0</v>
      </c>
      <c r="G6" s="3" t="s">
        <v>88</v>
      </c>
      <c r="H6" s="1372">
        <f>IF(OR(D6=0,F6=0),0,F6/D6)</f>
        <v>0</v>
      </c>
      <c r="I6" s="1373" t="s">
        <v>90</v>
      </c>
      <c r="J6" s="595"/>
      <c r="K6" s="595"/>
      <c r="L6" s="1028"/>
      <c r="M6" s="1028"/>
    </row>
    <row r="7" spans="1:13" s="4" customFormat="1" ht="18.75" customHeight="1">
      <c r="B7" s="1679" t="s">
        <v>4</v>
      </c>
      <c r="C7" s="15" t="s">
        <v>1</v>
      </c>
      <c r="D7" s="958">
        <f>実績表2!K34</f>
        <v>0</v>
      </c>
      <c r="E7" s="3" t="s">
        <v>8</v>
      </c>
      <c r="F7" s="66">
        <f t="shared" si="0"/>
        <v>0</v>
      </c>
      <c r="G7" s="3" t="s">
        <v>88</v>
      </c>
      <c r="H7" s="1372">
        <f>IF(OR(D7=0,F7=0),0,F7/D7)</f>
        <v>0</v>
      </c>
      <c r="I7" s="1373" t="s">
        <v>91</v>
      </c>
      <c r="J7" s="595"/>
      <c r="K7" s="595"/>
      <c r="L7" s="1028"/>
      <c r="M7" s="1028"/>
    </row>
    <row r="8" spans="1:13" s="4" customFormat="1" ht="18.75" customHeight="1">
      <c r="B8" s="1680"/>
      <c r="C8" s="15" t="s">
        <v>2</v>
      </c>
      <c r="D8" s="958">
        <f>実績表2!K35</f>
        <v>0</v>
      </c>
      <c r="E8" s="3" t="s">
        <v>8</v>
      </c>
      <c r="F8" s="66">
        <f t="shared" si="0"/>
        <v>0</v>
      </c>
      <c r="G8" s="3" t="s">
        <v>88</v>
      </c>
      <c r="H8" s="1372">
        <f t="shared" ref="H8:H13" si="1">IF(OR(D8=0,F8=0),0,F8/D8)</f>
        <v>0</v>
      </c>
      <c r="I8" s="1373" t="s">
        <v>91</v>
      </c>
      <c r="J8" s="595"/>
      <c r="K8" s="595"/>
      <c r="L8" s="1028"/>
      <c r="M8" s="1028"/>
    </row>
    <row r="9" spans="1:13" s="4" customFormat="1" ht="18.75" customHeight="1">
      <c r="B9" s="1680"/>
      <c r="C9" s="15" t="s">
        <v>3</v>
      </c>
      <c r="D9" s="958">
        <f>実績表2!K36</f>
        <v>0</v>
      </c>
      <c r="E9" s="3" t="s">
        <v>1201</v>
      </c>
      <c r="F9" s="66">
        <f t="shared" si="0"/>
        <v>0</v>
      </c>
      <c r="G9" s="3" t="s">
        <v>88</v>
      </c>
      <c r="H9" s="1372">
        <f>IF(OR(D9=0,F9=0),0,F9/D9)</f>
        <v>0</v>
      </c>
      <c r="I9" s="1373" t="s">
        <v>1204</v>
      </c>
      <c r="J9" s="595"/>
      <c r="K9" s="595"/>
      <c r="L9" s="1028"/>
      <c r="M9" s="1028"/>
    </row>
    <row r="10" spans="1:13" s="4" customFormat="1" ht="18.75" customHeight="1">
      <c r="B10" s="1680"/>
      <c r="C10" s="15" t="s">
        <v>1062</v>
      </c>
      <c r="D10" s="958">
        <f>実績表2!K37</f>
        <v>0</v>
      </c>
      <c r="E10" s="3" t="s">
        <v>1201</v>
      </c>
      <c r="F10" s="66">
        <f t="shared" si="0"/>
        <v>0</v>
      </c>
      <c r="G10" s="3" t="s">
        <v>88</v>
      </c>
      <c r="H10" s="1372">
        <f>IF(OR(D10=0,F10=0),0,F10/D10)</f>
        <v>0</v>
      </c>
      <c r="I10" s="1373" t="s">
        <v>1204</v>
      </c>
      <c r="J10" s="595"/>
      <c r="K10" s="595"/>
      <c r="L10" s="1028"/>
      <c r="M10" s="1028"/>
    </row>
    <row r="11" spans="1:13" s="4" customFormat="1" ht="18.75" customHeight="1">
      <c r="B11" s="1681"/>
      <c r="C11" s="15" t="s">
        <v>1203</v>
      </c>
      <c r="D11" s="958">
        <f>P31</f>
        <v>0</v>
      </c>
      <c r="E11" s="3" t="s">
        <v>1201</v>
      </c>
      <c r="F11" s="66">
        <f>$P25</f>
        <v>0</v>
      </c>
      <c r="G11" s="3" t="s">
        <v>88</v>
      </c>
      <c r="H11" s="1372">
        <f>IF(OR(D11=0,F11=0),0,F11/D11)</f>
        <v>0</v>
      </c>
      <c r="I11" s="1373" t="s">
        <v>1204</v>
      </c>
      <c r="J11" s="595"/>
      <c r="K11" s="595"/>
      <c r="L11" s="1028"/>
      <c r="M11" s="1028"/>
    </row>
    <row r="12" spans="1:13" s="4" customFormat="1" ht="18.75" customHeight="1">
      <c r="B12" s="1684" t="s">
        <v>13</v>
      </c>
      <c r="C12" s="15" t="s">
        <v>14</v>
      </c>
      <c r="D12" s="958">
        <f>実績表2!K39</f>
        <v>0</v>
      </c>
      <c r="E12" s="3" t="s">
        <v>8</v>
      </c>
      <c r="F12" s="66">
        <f t="shared" ref="F12:F13" si="2">$P26</f>
        <v>0</v>
      </c>
      <c r="G12" s="3" t="s">
        <v>88</v>
      </c>
      <c r="H12" s="1372">
        <f t="shared" si="1"/>
        <v>0</v>
      </c>
      <c r="I12" s="1373" t="s">
        <v>91</v>
      </c>
      <c r="J12" s="595"/>
      <c r="K12" s="595"/>
      <c r="L12" s="1028"/>
      <c r="M12" s="1028"/>
    </row>
    <row r="13" spans="1:13" s="4" customFormat="1" ht="18.75" customHeight="1">
      <c r="B13" s="1684"/>
      <c r="C13" s="15" t="s">
        <v>16</v>
      </c>
      <c r="D13" s="958">
        <f>実績表2!K40</f>
        <v>0</v>
      </c>
      <c r="E13" s="3" t="s">
        <v>8</v>
      </c>
      <c r="F13" s="66">
        <f t="shared" si="2"/>
        <v>0</v>
      </c>
      <c r="G13" s="3" t="s">
        <v>88</v>
      </c>
      <c r="H13" s="1372">
        <f t="shared" si="1"/>
        <v>0</v>
      </c>
      <c r="I13" s="1373" t="s">
        <v>91</v>
      </c>
      <c r="J13" s="595"/>
      <c r="K13" s="595"/>
      <c r="L13" s="1028"/>
      <c r="M13" s="1028"/>
    </row>
    <row r="14" spans="1:13" ht="18.75" customHeight="1">
      <c r="I14" s="957" t="s">
        <v>1142</v>
      </c>
    </row>
    <row r="15" spans="1:13" ht="18.75" customHeight="1">
      <c r="A15" s="91"/>
      <c r="G15" s="92"/>
    </row>
    <row r="16" spans="1:13" s="184" customFormat="1" ht="18.75" customHeight="1">
      <c r="A16" s="183"/>
      <c r="B16" s="92" t="s">
        <v>1208</v>
      </c>
    </row>
    <row r="17" spans="2:16" ht="20.149999999999999" customHeight="1">
      <c r="D17" s="439" t="s">
        <v>43</v>
      </c>
    </row>
    <row r="18" spans="2:16" ht="21" customHeight="1">
      <c r="B18" s="1685" t="s">
        <v>160</v>
      </c>
      <c r="C18" s="1685"/>
      <c r="D18" s="93"/>
      <c r="E18" s="94"/>
      <c r="F18" s="94"/>
      <c r="G18" s="94"/>
      <c r="H18" s="1440">
        <f>実績表2!$E$20</f>
        <v>7</v>
      </c>
      <c r="I18" s="1442">
        <f>実績表2!$E$21</f>
        <v>4</v>
      </c>
      <c r="J18" s="1443" t="s">
        <v>1207</v>
      </c>
      <c r="K18" s="94"/>
      <c r="L18" s="94"/>
      <c r="M18" s="94"/>
      <c r="N18" s="94"/>
      <c r="O18" s="95"/>
      <c r="P18" s="1682" t="s">
        <v>162</v>
      </c>
    </row>
    <row r="19" spans="2:16">
      <c r="B19" s="1685" t="s">
        <v>159</v>
      </c>
      <c r="C19" s="1685"/>
      <c r="D19" s="591">
        <f>実績表2!$E$11</f>
        <v>4</v>
      </c>
      <c r="E19" s="591">
        <f t="shared" ref="E19:O19" si="3">MOD($D19+COLUMN(A1)-1, 12)+1</f>
        <v>5</v>
      </c>
      <c r="F19" s="591">
        <f t="shared" si="3"/>
        <v>6</v>
      </c>
      <c r="G19" s="591">
        <f t="shared" si="3"/>
        <v>7</v>
      </c>
      <c r="H19" s="591">
        <f t="shared" si="3"/>
        <v>8</v>
      </c>
      <c r="I19" s="591">
        <f t="shared" si="3"/>
        <v>9</v>
      </c>
      <c r="J19" s="591">
        <f t="shared" si="3"/>
        <v>10</v>
      </c>
      <c r="K19" s="591">
        <f t="shared" si="3"/>
        <v>11</v>
      </c>
      <c r="L19" s="591">
        <f t="shared" si="3"/>
        <v>12</v>
      </c>
      <c r="M19" s="591">
        <f t="shared" si="3"/>
        <v>1</v>
      </c>
      <c r="N19" s="591">
        <f t="shared" si="3"/>
        <v>2</v>
      </c>
      <c r="O19" s="591">
        <f t="shared" si="3"/>
        <v>3</v>
      </c>
      <c r="P19" s="1683"/>
    </row>
    <row r="20" spans="2:16" ht="20.5" customHeight="1">
      <c r="B20" s="13" t="s">
        <v>0</v>
      </c>
      <c r="C20" s="13" t="s">
        <v>288</v>
      </c>
      <c r="D20" s="959"/>
      <c r="E20" s="959"/>
      <c r="F20" s="959"/>
      <c r="G20" s="959"/>
      <c r="H20" s="959"/>
      <c r="I20" s="959"/>
      <c r="J20" s="959"/>
      <c r="K20" s="959"/>
      <c r="L20" s="959"/>
      <c r="M20" s="959"/>
      <c r="N20" s="959"/>
      <c r="O20" s="959"/>
      <c r="P20" s="189">
        <f>SUM(D20:O20)</f>
        <v>0</v>
      </c>
    </row>
    <row r="21" spans="2:16" ht="20.5" customHeight="1">
      <c r="B21" s="1679" t="s">
        <v>4</v>
      </c>
      <c r="C21" s="13" t="s">
        <v>1</v>
      </c>
      <c r="D21" s="959"/>
      <c r="E21" s="959"/>
      <c r="F21" s="959"/>
      <c r="G21" s="959"/>
      <c r="H21" s="959"/>
      <c r="I21" s="959"/>
      <c r="J21" s="959"/>
      <c r="K21" s="959"/>
      <c r="L21" s="959"/>
      <c r="M21" s="959"/>
      <c r="N21" s="959"/>
      <c r="O21" s="959"/>
      <c r="P21" s="189">
        <f t="shared" ref="P21:P27" si="4">SUM(D21:O21)</f>
        <v>0</v>
      </c>
    </row>
    <row r="22" spans="2:16" ht="20.5" customHeight="1">
      <c r="B22" s="1680"/>
      <c r="C22" s="13" t="s">
        <v>2</v>
      </c>
      <c r="D22" s="959"/>
      <c r="E22" s="959"/>
      <c r="F22" s="959"/>
      <c r="G22" s="959"/>
      <c r="H22" s="959"/>
      <c r="I22" s="959"/>
      <c r="J22" s="959"/>
      <c r="K22" s="959"/>
      <c r="L22" s="959"/>
      <c r="M22" s="959"/>
      <c r="N22" s="959"/>
      <c r="O22" s="959"/>
      <c r="P22" s="189">
        <f t="shared" si="4"/>
        <v>0</v>
      </c>
    </row>
    <row r="23" spans="2:16" ht="20.5" customHeight="1">
      <c r="B23" s="1680"/>
      <c r="C23" s="13" t="s">
        <v>3</v>
      </c>
      <c r="D23" s="959"/>
      <c r="E23" s="959"/>
      <c r="F23" s="959"/>
      <c r="G23" s="959"/>
      <c r="H23" s="959"/>
      <c r="I23" s="959"/>
      <c r="J23" s="959"/>
      <c r="K23" s="959"/>
      <c r="L23" s="959"/>
      <c r="M23" s="959"/>
      <c r="N23" s="959"/>
      <c r="O23" s="959"/>
      <c r="P23" s="189">
        <f t="shared" si="4"/>
        <v>0</v>
      </c>
    </row>
    <row r="24" spans="2:16" ht="20.5" customHeight="1">
      <c r="B24" s="1680"/>
      <c r="C24" s="15" t="s">
        <v>1062</v>
      </c>
      <c r="D24" s="959"/>
      <c r="E24" s="959"/>
      <c r="F24" s="959"/>
      <c r="G24" s="959"/>
      <c r="H24" s="959"/>
      <c r="I24" s="959"/>
      <c r="J24" s="959"/>
      <c r="K24" s="959"/>
      <c r="L24" s="959"/>
      <c r="M24" s="959"/>
      <c r="N24" s="959"/>
      <c r="O24" s="959"/>
      <c r="P24" s="189">
        <f t="shared" si="4"/>
        <v>0</v>
      </c>
    </row>
    <row r="25" spans="2:16" ht="20.5" customHeight="1">
      <c r="B25" s="1681"/>
      <c r="C25" s="15" t="s">
        <v>1203</v>
      </c>
      <c r="D25" s="959"/>
      <c r="E25" s="959"/>
      <c r="F25" s="959"/>
      <c r="G25" s="959"/>
      <c r="H25" s="959"/>
      <c r="I25" s="959"/>
      <c r="J25" s="959"/>
      <c r="K25" s="959"/>
      <c r="L25" s="959"/>
      <c r="M25" s="959"/>
      <c r="N25" s="959"/>
      <c r="O25" s="959"/>
      <c r="P25" s="189">
        <f t="shared" si="4"/>
        <v>0</v>
      </c>
    </row>
    <row r="26" spans="2:16" ht="20.5" customHeight="1">
      <c r="B26" s="1684" t="s">
        <v>13</v>
      </c>
      <c r="C26" s="13" t="s">
        <v>14</v>
      </c>
      <c r="D26" s="959"/>
      <c r="E26" s="959"/>
      <c r="F26" s="959"/>
      <c r="G26" s="959"/>
      <c r="H26" s="959"/>
      <c r="I26" s="959"/>
      <c r="J26" s="959"/>
      <c r="K26" s="959"/>
      <c r="L26" s="959"/>
      <c r="M26" s="959"/>
      <c r="N26" s="959"/>
      <c r="O26" s="959"/>
      <c r="P26" s="189">
        <f t="shared" si="4"/>
        <v>0</v>
      </c>
    </row>
    <row r="27" spans="2:16" ht="20.5" customHeight="1">
      <c r="B27" s="1684"/>
      <c r="C27" s="13" t="s">
        <v>16</v>
      </c>
      <c r="D27" s="959"/>
      <c r="E27" s="959"/>
      <c r="F27" s="959"/>
      <c r="G27" s="959"/>
      <c r="H27" s="959"/>
      <c r="I27" s="959"/>
      <c r="J27" s="959"/>
      <c r="K27" s="959"/>
      <c r="L27" s="959"/>
      <c r="M27" s="959"/>
      <c r="N27" s="959"/>
      <c r="O27" s="959"/>
      <c r="P27" s="189">
        <f t="shared" si="4"/>
        <v>0</v>
      </c>
    </row>
    <row r="28" spans="2:16" ht="3" customHeight="1"/>
    <row r="29" spans="2:16">
      <c r="B29" s="4" t="s">
        <v>1198</v>
      </c>
      <c r="C29" s="4"/>
      <c r="D29" s="4"/>
      <c r="E29" s="4"/>
      <c r="F29" s="4"/>
      <c r="G29" s="4"/>
      <c r="H29" s="4"/>
      <c r="I29" s="4"/>
      <c r="J29" s="4"/>
      <c r="K29" s="4"/>
      <c r="L29" s="4"/>
      <c r="M29" s="4"/>
      <c r="N29" s="4"/>
      <c r="O29" s="4"/>
      <c r="P29" s="4"/>
    </row>
    <row r="30" spans="2:16">
      <c r="B30" s="1678" t="s">
        <v>159</v>
      </c>
      <c r="C30" s="1678"/>
      <c r="D30" s="1029">
        <f>実績表2!$E$11</f>
        <v>4</v>
      </c>
      <c r="E30" s="1029">
        <f t="shared" ref="E30" si="5">MOD($D30+COLUMN(A12)-1, 12)+1</f>
        <v>5</v>
      </c>
      <c r="F30" s="1029">
        <f t="shared" ref="F30" si="6">MOD($D30+COLUMN(B12)-1, 12)+1</f>
        <v>6</v>
      </c>
      <c r="G30" s="1029">
        <f t="shared" ref="G30" si="7">MOD($D30+COLUMN(C12)-1, 12)+1</f>
        <v>7</v>
      </c>
      <c r="H30" s="1029">
        <f t="shared" ref="H30" si="8">MOD($D30+COLUMN(D12)-1, 12)+1</f>
        <v>8</v>
      </c>
      <c r="I30" s="1029">
        <f t="shared" ref="I30" si="9">MOD($D30+COLUMN(E12)-1, 12)+1</f>
        <v>9</v>
      </c>
      <c r="J30" s="1029">
        <f t="shared" ref="J30" si="10">MOD($D30+COLUMN(F12)-1, 12)+1</f>
        <v>10</v>
      </c>
      <c r="K30" s="1029">
        <f t="shared" ref="K30" si="11">MOD($D30+COLUMN(G12)-1, 12)+1</f>
        <v>11</v>
      </c>
      <c r="L30" s="1029">
        <f t="shared" ref="L30" si="12">MOD($D30+COLUMN(H12)-1, 12)+1</f>
        <v>12</v>
      </c>
      <c r="M30" s="1029">
        <f t="shared" ref="M30" si="13">MOD($D30+COLUMN(I12)-1, 12)+1</f>
        <v>1</v>
      </c>
      <c r="N30" s="1029">
        <f t="shared" ref="N30" si="14">MOD($D30+COLUMN(J12)-1, 12)+1</f>
        <v>2</v>
      </c>
      <c r="O30" s="1029">
        <f t="shared" ref="O30" si="15">MOD($D30+COLUMN(K12)-1, 12)+1</f>
        <v>3</v>
      </c>
      <c r="P30" s="1024" t="s">
        <v>5</v>
      </c>
    </row>
    <row r="31" spans="2:16">
      <c r="B31" s="1025" t="s">
        <v>4</v>
      </c>
      <c r="C31" s="1025" t="s">
        <v>1111</v>
      </c>
      <c r="D31" s="74"/>
      <c r="E31" s="74"/>
      <c r="F31" s="74"/>
      <c r="G31" s="74"/>
      <c r="H31" s="74"/>
      <c r="I31" s="74"/>
      <c r="J31" s="74"/>
      <c r="K31" s="74"/>
      <c r="L31" s="74"/>
      <c r="M31" s="74"/>
      <c r="N31" s="74"/>
      <c r="O31" s="74"/>
      <c r="P31" s="1030">
        <f>SUM(D31:O31)</f>
        <v>0</v>
      </c>
    </row>
  </sheetData>
  <protectedRanges>
    <protectedRange sqref="D20:O27 D31:O31" name="範囲1"/>
  </protectedRanges>
  <mergeCells count="8">
    <mergeCell ref="B30:C30"/>
    <mergeCell ref="B7:B11"/>
    <mergeCell ref="B21:B25"/>
    <mergeCell ref="P18:P19"/>
    <mergeCell ref="B12:B13"/>
    <mergeCell ref="B26:B27"/>
    <mergeCell ref="B19:C19"/>
    <mergeCell ref="B18:C18"/>
  </mergeCells>
  <phoneticPr fontId="2"/>
  <pageMargins left="0.7" right="0.7" top="0.75" bottom="0.75" header="0.3" footer="0.3"/>
  <pageSetup paperSize="9" scale="70" orientation="landscape"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0CCF4-6853-468D-BD89-65F78CA4730F}">
  <sheetPr>
    <tabColor theme="8" tint="0.39997558519241921"/>
    <pageSetUpPr fitToPage="1"/>
  </sheetPr>
  <dimension ref="A1:AN338"/>
  <sheetViews>
    <sheetView zoomScaleNormal="100" zoomScaleSheetLayoutView="100" workbookViewId="0"/>
  </sheetViews>
  <sheetFormatPr defaultRowHeight="18"/>
  <cols>
    <col min="2" max="2" width="11" bestFit="1" customWidth="1"/>
    <col min="3" max="3" width="12.75" bestFit="1" customWidth="1"/>
    <col min="4" max="4" width="10.58203125" customWidth="1"/>
    <col min="6" max="6" width="8.75" bestFit="1" customWidth="1"/>
    <col min="7" max="7" width="9.9140625" bestFit="1" customWidth="1"/>
    <col min="8" max="8" width="8.75" bestFit="1" customWidth="1"/>
    <col min="9" max="9" width="8.6640625" customWidth="1"/>
    <col min="10" max="10" width="9" customWidth="1"/>
    <col min="11" max="12" width="8.75" bestFit="1" customWidth="1"/>
    <col min="13" max="13" width="10.08203125" bestFit="1" customWidth="1"/>
    <col min="14" max="14" width="8.75" bestFit="1" customWidth="1"/>
    <col min="17" max="17" width="8.75" bestFit="1" customWidth="1"/>
    <col min="19" max="19" width="14.5" customWidth="1"/>
    <col min="21" max="21" width="11" customWidth="1"/>
    <col min="22" max="22" width="23.33203125" customWidth="1"/>
    <col min="23" max="23" width="8.75" bestFit="1" customWidth="1"/>
    <col min="25" max="25" width="8.75" bestFit="1" customWidth="1"/>
    <col min="30" max="30" width="8.75" bestFit="1" customWidth="1"/>
  </cols>
  <sheetData>
    <row r="1" spans="1:18" s="190" customFormat="1" ht="23.5">
      <c r="A1" s="960" t="s">
        <v>1165</v>
      </c>
    </row>
    <row r="2" spans="1:18" s="190" customFormat="1"/>
    <row r="3" spans="1:18" s="190" customFormat="1" ht="23.5">
      <c r="A3" s="191" t="s">
        <v>1129</v>
      </c>
    </row>
    <row r="4" spans="1:18" s="190" customFormat="1"/>
    <row r="5" spans="1:18" s="190" customFormat="1">
      <c r="N5" s="783" t="s">
        <v>7</v>
      </c>
      <c r="O5" s="783" t="s">
        <v>147</v>
      </c>
    </row>
    <row r="6" spans="1:18" s="190" customFormat="1" ht="18" customHeight="1">
      <c r="N6" s="1768" t="s">
        <v>734</v>
      </c>
      <c r="O6" s="1770">
        <v>0.13</v>
      </c>
    </row>
    <row r="7" spans="1:18" s="190" customFormat="1">
      <c r="N7" s="1769"/>
      <c r="O7" s="1771"/>
    </row>
    <row r="8" spans="1:18" s="190" customFormat="1"/>
    <row r="9" spans="1:18" s="190" customFormat="1"/>
    <row r="10" spans="1:18" s="190" customFormat="1">
      <c r="B10" s="22" t="s">
        <v>54</v>
      </c>
      <c r="C10" s="22"/>
      <c r="D10" s="77"/>
      <c r="E10" s="77"/>
      <c r="F10" s="77"/>
      <c r="G10" s="77"/>
      <c r="H10" s="77"/>
      <c r="I10" s="77"/>
      <c r="J10" s="80" t="s">
        <v>74</v>
      </c>
      <c r="K10" s="80"/>
      <c r="L10" s="80"/>
      <c r="M10" s="80"/>
      <c r="N10" s="80"/>
      <c r="O10" s="80"/>
      <c r="P10" s="80"/>
      <c r="Q10" s="80"/>
      <c r="R10" s="46" t="s">
        <v>75</v>
      </c>
    </row>
    <row r="11" spans="1:18" s="190" customFormat="1" ht="26">
      <c r="B11" s="781"/>
      <c r="C11" s="789" t="s">
        <v>442</v>
      </c>
      <c r="D11" s="81" t="s">
        <v>131</v>
      </c>
      <c r="E11" s="789" t="s">
        <v>132</v>
      </c>
      <c r="F11" s="789" t="s">
        <v>138</v>
      </c>
      <c r="G11" s="789" t="s">
        <v>142</v>
      </c>
      <c r="H11" s="789" t="s">
        <v>139</v>
      </c>
      <c r="I11" s="792" t="s">
        <v>134</v>
      </c>
      <c r="J11" s="51" t="s">
        <v>128</v>
      </c>
      <c r="K11" s="52" t="s">
        <v>130</v>
      </c>
      <c r="L11" s="52" t="s">
        <v>132</v>
      </c>
      <c r="M11" s="52" t="s">
        <v>138</v>
      </c>
      <c r="N11" s="51" t="s">
        <v>142</v>
      </c>
      <c r="O11" s="51" t="s">
        <v>139</v>
      </c>
      <c r="P11" s="51" t="s">
        <v>145</v>
      </c>
      <c r="Q11" s="86" t="s">
        <v>134</v>
      </c>
      <c r="R11" s="71" t="s">
        <v>371</v>
      </c>
    </row>
    <row r="12" spans="1:18" s="190" customFormat="1">
      <c r="B12" s="782" t="s">
        <v>7</v>
      </c>
      <c r="C12" s="780" t="s">
        <v>45</v>
      </c>
      <c r="D12" s="780" t="s">
        <v>45</v>
      </c>
      <c r="E12" s="780" t="s">
        <v>45</v>
      </c>
      <c r="F12" s="780" t="s">
        <v>45</v>
      </c>
      <c r="G12" s="780" t="s">
        <v>143</v>
      </c>
      <c r="H12" s="780" t="s">
        <v>133</v>
      </c>
      <c r="I12" s="194" t="s">
        <v>56</v>
      </c>
      <c r="J12" s="52" t="s">
        <v>121</v>
      </c>
      <c r="K12" s="52" t="s">
        <v>121</v>
      </c>
      <c r="L12" s="52" t="s">
        <v>121</v>
      </c>
      <c r="M12" s="52" t="s">
        <v>121</v>
      </c>
      <c r="N12" s="52" t="s">
        <v>143</v>
      </c>
      <c r="O12" s="52" t="s">
        <v>133</v>
      </c>
      <c r="P12" s="52" t="s">
        <v>123</v>
      </c>
      <c r="Q12" s="195" t="s">
        <v>56</v>
      </c>
      <c r="R12" s="193" t="s">
        <v>56</v>
      </c>
    </row>
    <row r="13" spans="1:18" s="190" customFormat="1">
      <c r="B13" s="596" t="s">
        <v>77</v>
      </c>
      <c r="C13" s="961" t="s">
        <v>1157</v>
      </c>
      <c r="D13" s="596" t="s">
        <v>1119</v>
      </c>
      <c r="E13" s="596" t="s">
        <v>136</v>
      </c>
      <c r="F13" s="596" t="s">
        <v>135</v>
      </c>
      <c r="G13" s="596">
        <v>13.5</v>
      </c>
      <c r="H13" s="962">
        <v>650.5</v>
      </c>
      <c r="I13" s="962">
        <v>1509.1599999999999</v>
      </c>
      <c r="J13" s="596" t="s">
        <v>326</v>
      </c>
      <c r="K13" s="596" t="s">
        <v>1119</v>
      </c>
      <c r="L13" s="596" t="s">
        <v>141</v>
      </c>
      <c r="M13" s="596" t="s">
        <v>135</v>
      </c>
      <c r="N13" s="596">
        <v>15.5</v>
      </c>
      <c r="O13" s="963">
        <v>566.56451612903231</v>
      </c>
      <c r="P13" s="962" t="s">
        <v>1125</v>
      </c>
      <c r="Q13" s="962">
        <v>1314.4296774193549</v>
      </c>
      <c r="R13" s="964">
        <v>194.73032258064495</v>
      </c>
    </row>
    <row r="14" spans="1:18" s="190" customFormat="1">
      <c r="B14" s="37" t="s">
        <v>443</v>
      </c>
      <c r="C14" s="192" t="s">
        <v>1157</v>
      </c>
      <c r="D14" s="37" t="s">
        <v>1119</v>
      </c>
      <c r="E14" s="37" t="s">
        <v>136</v>
      </c>
      <c r="F14" s="72" t="s">
        <v>135</v>
      </c>
      <c r="G14" s="37">
        <v>13.5</v>
      </c>
      <c r="H14" s="78">
        <v>650.5</v>
      </c>
      <c r="I14" s="76">
        <v>1509.1599999999999</v>
      </c>
      <c r="J14" s="37" t="s">
        <v>326</v>
      </c>
      <c r="K14" s="37" t="s">
        <v>1119</v>
      </c>
      <c r="L14" s="37" t="s">
        <v>141</v>
      </c>
      <c r="M14" s="72" t="s">
        <v>135</v>
      </c>
      <c r="N14" s="37">
        <v>15.5</v>
      </c>
      <c r="O14" s="175">
        <v>566.56451612903231</v>
      </c>
      <c r="P14" s="76" t="s">
        <v>1125</v>
      </c>
      <c r="Q14" s="76">
        <v>1314.4296774193549</v>
      </c>
      <c r="R14" s="171">
        <v>194.73032258064495</v>
      </c>
    </row>
    <row r="15" spans="1:18" s="190" customFormat="1">
      <c r="B15" s="37" t="s">
        <v>444</v>
      </c>
      <c r="C15" s="37" t="s">
        <v>1158</v>
      </c>
      <c r="D15" s="37" t="s">
        <v>1120</v>
      </c>
      <c r="E15" s="37" t="s">
        <v>137</v>
      </c>
      <c r="F15" s="72" t="s">
        <v>129</v>
      </c>
      <c r="G15" s="37">
        <v>15.5</v>
      </c>
      <c r="H15" s="78">
        <v>550.29999999999995</v>
      </c>
      <c r="I15" s="76">
        <v>1419.7739999999999</v>
      </c>
      <c r="J15" s="78" t="s">
        <v>345</v>
      </c>
      <c r="K15" s="37" t="s">
        <v>1120</v>
      </c>
      <c r="L15" s="37" t="s">
        <v>1161</v>
      </c>
      <c r="M15" s="72" t="s">
        <v>144</v>
      </c>
      <c r="N15" s="37"/>
      <c r="O15" s="284" t="s">
        <v>1125</v>
      </c>
      <c r="P15" s="76">
        <v>1108.8544999999999</v>
      </c>
      <c r="Q15" s="76">
        <v>476.80743499999994</v>
      </c>
      <c r="R15" s="171">
        <v>942.96656499999995</v>
      </c>
    </row>
    <row r="16" spans="1:18" s="190" customFormat="1"/>
    <row r="17" spans="1:1" s="190" customFormat="1"/>
    <row r="18" spans="1:1" s="190" customFormat="1"/>
    <row r="19" spans="1:1" s="190" customFormat="1"/>
    <row r="20" spans="1:1" s="190" customFormat="1"/>
    <row r="21" spans="1:1" s="196" customFormat="1"/>
    <row r="22" spans="1:1" s="196" customFormat="1" ht="23.5">
      <c r="A22" s="197" t="s">
        <v>1130</v>
      </c>
    </row>
    <row r="23" spans="1:1" s="196" customFormat="1"/>
    <row r="24" spans="1:1" s="196" customFormat="1"/>
    <row r="25" spans="1:1" s="196" customFormat="1"/>
    <row r="26" spans="1:1" s="196" customFormat="1"/>
    <row r="27" spans="1:1" s="196" customFormat="1"/>
    <row r="28" spans="1:1" s="196" customFormat="1"/>
    <row r="29" spans="1:1" s="196" customFormat="1"/>
    <row r="30" spans="1:1" s="196" customFormat="1"/>
    <row r="31" spans="1:1" s="196" customFormat="1"/>
    <row r="32" spans="1:1" s="196" customFormat="1"/>
    <row r="33" spans="1:22" s="196" customFormat="1" ht="18.5" thickBot="1">
      <c r="B33" s="1772" t="s">
        <v>336</v>
      </c>
      <c r="C33" s="22" t="s">
        <v>54</v>
      </c>
      <c r="D33" s="22"/>
      <c r="E33" s="22"/>
      <c r="F33" s="22"/>
      <c r="G33" s="22"/>
      <c r="H33" s="207"/>
      <c r="I33" s="207"/>
      <c r="J33" s="22"/>
      <c r="K33" s="22"/>
      <c r="L33" s="22"/>
      <c r="M33" s="80" t="s">
        <v>86</v>
      </c>
      <c r="N33" s="80"/>
      <c r="O33" s="80"/>
      <c r="P33" s="208"/>
      <c r="Q33" s="208"/>
      <c r="R33" s="80"/>
      <c r="S33" s="80"/>
      <c r="T33" s="80"/>
      <c r="U33" s="209" t="s">
        <v>58</v>
      </c>
      <c r="V33" s="209"/>
    </row>
    <row r="34" spans="1:22" s="196" customFormat="1" ht="26">
      <c r="B34" s="1678"/>
      <c r="C34" s="789" t="s">
        <v>44</v>
      </c>
      <c r="D34" s="789" t="s">
        <v>150</v>
      </c>
      <c r="E34" s="780" t="s">
        <v>151</v>
      </c>
      <c r="F34" s="789" t="s">
        <v>155</v>
      </c>
      <c r="G34" s="210" t="s">
        <v>156</v>
      </c>
      <c r="H34" s="211" t="s">
        <v>46</v>
      </c>
      <c r="I34" s="212" t="s">
        <v>152</v>
      </c>
      <c r="J34" s="81" t="s">
        <v>153</v>
      </c>
      <c r="K34" s="789" t="s">
        <v>154</v>
      </c>
      <c r="L34" s="789" t="s">
        <v>71</v>
      </c>
      <c r="M34" s="51" t="s">
        <v>44</v>
      </c>
      <c r="N34" s="51" t="s">
        <v>65</v>
      </c>
      <c r="O34" s="213" t="s">
        <v>66</v>
      </c>
      <c r="P34" s="214" t="s">
        <v>46</v>
      </c>
      <c r="Q34" s="215" t="s">
        <v>64</v>
      </c>
      <c r="R34" s="216" t="s">
        <v>63</v>
      </c>
      <c r="S34" s="51" t="s">
        <v>62</v>
      </c>
      <c r="T34" s="51" t="s">
        <v>61</v>
      </c>
      <c r="U34" s="71" t="s">
        <v>59</v>
      </c>
      <c r="V34" s="71" t="s">
        <v>60</v>
      </c>
    </row>
    <row r="35" spans="1:22" s="196" customFormat="1">
      <c r="B35" s="782" t="s">
        <v>7</v>
      </c>
      <c r="C35" s="780" t="s">
        <v>45</v>
      </c>
      <c r="D35" s="780" t="s">
        <v>47</v>
      </c>
      <c r="E35" s="780" t="s">
        <v>48</v>
      </c>
      <c r="F35" s="780" t="s">
        <v>49</v>
      </c>
      <c r="G35" s="778" t="s">
        <v>51</v>
      </c>
      <c r="H35" s="217"/>
      <c r="I35" s="218" t="s">
        <v>52</v>
      </c>
      <c r="J35" s="779" t="s">
        <v>53</v>
      </c>
      <c r="K35" s="780" t="s">
        <v>55</v>
      </c>
      <c r="L35" s="780" t="s">
        <v>56</v>
      </c>
      <c r="M35" s="52" t="s">
        <v>45</v>
      </c>
      <c r="N35" s="52" t="s">
        <v>47</v>
      </c>
      <c r="O35" s="213" t="s">
        <v>48</v>
      </c>
      <c r="P35" s="219"/>
      <c r="Q35" s="220" t="s">
        <v>52</v>
      </c>
      <c r="R35" s="221" t="s">
        <v>53</v>
      </c>
      <c r="S35" s="52" t="s">
        <v>55</v>
      </c>
      <c r="T35" s="52" t="s">
        <v>56</v>
      </c>
      <c r="U35" s="46" t="s">
        <v>55</v>
      </c>
      <c r="V35" s="46" t="s">
        <v>56</v>
      </c>
    </row>
    <row r="36" spans="1:22" s="196" customFormat="1" ht="18.5" thickBot="1">
      <c r="B36" s="50" t="s">
        <v>77</v>
      </c>
      <c r="C36" s="37" t="s">
        <v>50</v>
      </c>
      <c r="D36" s="37">
        <v>80</v>
      </c>
      <c r="E36" s="37">
        <v>20</v>
      </c>
      <c r="F36" s="37">
        <v>8</v>
      </c>
      <c r="G36" s="200">
        <v>250</v>
      </c>
      <c r="H36" s="202"/>
      <c r="I36" s="203"/>
      <c r="J36" s="201">
        <v>2000</v>
      </c>
      <c r="K36" s="66">
        <v>3200</v>
      </c>
      <c r="L36" s="65">
        <v>1376</v>
      </c>
      <c r="M36" s="37" t="s">
        <v>57</v>
      </c>
      <c r="N36" s="37">
        <v>40</v>
      </c>
      <c r="O36" s="200">
        <v>20</v>
      </c>
      <c r="P36" s="204"/>
      <c r="Q36" s="307">
        <v>80</v>
      </c>
      <c r="R36" s="201">
        <v>2000</v>
      </c>
      <c r="S36" s="66">
        <v>1600</v>
      </c>
      <c r="T36" s="65">
        <v>688</v>
      </c>
      <c r="U36" s="66">
        <v>1600</v>
      </c>
      <c r="V36" s="65">
        <v>688</v>
      </c>
    </row>
    <row r="37" spans="1:22" s="196" customFormat="1"/>
    <row r="38" spans="1:22" s="196" customFormat="1">
      <c r="J38" s="1765" t="s">
        <v>463</v>
      </c>
      <c r="K38" s="1773"/>
      <c r="L38" s="1773"/>
      <c r="M38" s="1773"/>
      <c r="N38" s="1774"/>
    </row>
    <row r="39" spans="1:22" s="196" customFormat="1">
      <c r="J39" s="47" t="s">
        <v>464</v>
      </c>
      <c r="K39" s="1765" t="s">
        <v>465</v>
      </c>
      <c r="L39" s="1766"/>
      <c r="M39" s="1766"/>
      <c r="N39" s="1767"/>
    </row>
    <row r="40" spans="1:22" s="196" customFormat="1">
      <c r="J40" s="1765" t="s">
        <v>466</v>
      </c>
      <c r="K40" s="1766"/>
      <c r="L40" s="1766"/>
      <c r="M40" s="1766"/>
      <c r="N40" s="1767"/>
    </row>
    <row r="41" spans="1:22" s="196" customFormat="1">
      <c r="J41" s="1754" t="s">
        <v>467</v>
      </c>
      <c r="K41" s="1755"/>
      <c r="L41" s="47" t="s">
        <v>468</v>
      </c>
      <c r="M41" s="47" t="s">
        <v>469</v>
      </c>
      <c r="N41" s="47" t="s">
        <v>470</v>
      </c>
    </row>
    <row r="42" spans="1:22" s="196" customFormat="1">
      <c r="J42" s="1754" t="s">
        <v>471</v>
      </c>
      <c r="K42" s="1755"/>
      <c r="L42" s="47" t="s">
        <v>472</v>
      </c>
      <c r="M42" s="47" t="s">
        <v>473</v>
      </c>
      <c r="N42" s="47" t="s">
        <v>474</v>
      </c>
    </row>
    <row r="43" spans="1:22" s="196" customFormat="1">
      <c r="J43" s="1754" t="s">
        <v>475</v>
      </c>
      <c r="K43" s="1755"/>
      <c r="L43" s="47" t="s">
        <v>476</v>
      </c>
      <c r="M43" s="47" t="s">
        <v>476</v>
      </c>
      <c r="N43" s="47" t="s">
        <v>476</v>
      </c>
    </row>
    <row r="44" spans="1:22" s="196" customFormat="1"/>
    <row r="45" spans="1:22" s="196" customFormat="1"/>
    <row r="46" spans="1:22" s="205" customFormat="1"/>
    <row r="47" spans="1:22" s="205" customFormat="1" ht="23.5">
      <c r="A47" s="206" t="s">
        <v>1131</v>
      </c>
    </row>
    <row r="48" spans="1:22" s="205" customFormat="1"/>
    <row r="49" spans="2:30" s="205" customFormat="1"/>
    <row r="50" spans="2:30" s="205" customFormat="1">
      <c r="B50" s="1762" t="s">
        <v>859</v>
      </c>
      <c r="C50" s="1763"/>
      <c r="D50" s="1763"/>
      <c r="E50" s="1764"/>
    </row>
    <row r="51" spans="2:30" s="205" customFormat="1">
      <c r="B51" s="555" t="s">
        <v>596</v>
      </c>
      <c r="C51" s="606">
        <v>0.5</v>
      </c>
      <c r="D51" s="555" t="s">
        <v>597</v>
      </c>
      <c r="E51" s="606">
        <v>0.4</v>
      </c>
    </row>
    <row r="52" spans="2:30" s="205" customFormat="1"/>
    <row r="53" spans="2:30" s="205" customFormat="1"/>
    <row r="54" spans="2:30" s="205" customFormat="1">
      <c r="B54" s="1756" t="s">
        <v>336</v>
      </c>
      <c r="C54" s="16" t="s">
        <v>54</v>
      </c>
      <c r="D54" s="62"/>
      <c r="E54" s="62"/>
      <c r="F54" s="62"/>
      <c r="G54" s="24"/>
      <c r="H54" s="24"/>
      <c r="I54" s="24"/>
      <c r="J54" s="24"/>
      <c r="K54" s="24"/>
      <c r="L54" s="24"/>
      <c r="M54" s="24"/>
      <c r="N54" s="24"/>
      <c r="O54" s="24"/>
      <c r="P54" s="24"/>
      <c r="Q54" s="24"/>
      <c r="R54" s="14"/>
      <c r="S54" s="57" t="s">
        <v>74</v>
      </c>
      <c r="T54" s="58"/>
      <c r="U54" s="54"/>
      <c r="V54" s="54"/>
      <c r="W54" s="54"/>
      <c r="X54" s="54"/>
      <c r="Y54" s="54"/>
      <c r="Z54" s="54"/>
      <c r="AA54" s="54"/>
      <c r="AB54" s="55"/>
      <c r="AC54" s="67" t="s">
        <v>58</v>
      </c>
      <c r="AD54" s="68"/>
    </row>
    <row r="55" spans="2:30" s="205" customFormat="1">
      <c r="B55" s="1757"/>
      <c r="C55" s="17"/>
      <c r="D55" s="63"/>
      <c r="E55" s="63"/>
      <c r="F55" s="18"/>
      <c r="G55" s="13" t="s">
        <v>105</v>
      </c>
      <c r="H55" s="24"/>
      <c r="I55" s="24"/>
      <c r="J55" s="24"/>
      <c r="K55" s="14"/>
      <c r="L55" s="13" t="s">
        <v>106</v>
      </c>
      <c r="M55" s="24"/>
      <c r="N55" s="24"/>
      <c r="O55" s="24"/>
      <c r="P55" s="14"/>
      <c r="Q55" s="13" t="s">
        <v>113</v>
      </c>
      <c r="R55" s="14"/>
      <c r="S55" s="59"/>
      <c r="T55" s="60"/>
      <c r="U55" s="53" t="s">
        <v>105</v>
      </c>
      <c r="V55" s="54"/>
      <c r="W55" s="55"/>
      <c r="X55" s="56" t="s">
        <v>117</v>
      </c>
      <c r="Y55" s="54"/>
      <c r="Z55" s="55"/>
      <c r="AA55" s="53" t="s">
        <v>118</v>
      </c>
      <c r="AB55" s="55"/>
      <c r="AC55" s="69"/>
      <c r="AD55" s="70"/>
    </row>
    <row r="56" spans="2:30" s="205" customFormat="1" ht="65">
      <c r="B56" s="1758"/>
      <c r="C56" s="792" t="s">
        <v>44</v>
      </c>
      <c r="D56" s="789" t="s">
        <v>92</v>
      </c>
      <c r="E56" s="789" t="s">
        <v>93</v>
      </c>
      <c r="F56" s="789" t="s">
        <v>94</v>
      </c>
      <c r="G56" s="780" t="s">
        <v>95</v>
      </c>
      <c r="H56" s="789" t="s">
        <v>187</v>
      </c>
      <c r="I56" s="789" t="s">
        <v>98</v>
      </c>
      <c r="J56" s="789" t="s">
        <v>99</v>
      </c>
      <c r="K56" s="789" t="s">
        <v>104</v>
      </c>
      <c r="L56" s="780" t="s">
        <v>96</v>
      </c>
      <c r="M56" s="789" t="s">
        <v>100</v>
      </c>
      <c r="N56" s="789" t="s">
        <v>98</v>
      </c>
      <c r="O56" s="789" t="s">
        <v>99</v>
      </c>
      <c r="P56" s="789" t="s">
        <v>103</v>
      </c>
      <c r="Q56" s="789" t="s">
        <v>355</v>
      </c>
      <c r="R56" s="789" t="s">
        <v>101</v>
      </c>
      <c r="S56" s="51" t="s">
        <v>97</v>
      </c>
      <c r="T56" s="51" t="s">
        <v>116</v>
      </c>
      <c r="U56" s="51" t="s">
        <v>480</v>
      </c>
      <c r="V56" s="51" t="s">
        <v>486</v>
      </c>
      <c r="W56" s="51" t="s">
        <v>191</v>
      </c>
      <c r="X56" s="51" t="s">
        <v>482</v>
      </c>
      <c r="Y56" s="51" t="s">
        <v>487</v>
      </c>
      <c r="Z56" s="51" t="s">
        <v>190</v>
      </c>
      <c r="AA56" s="51" t="s">
        <v>356</v>
      </c>
      <c r="AB56" s="51" t="s">
        <v>102</v>
      </c>
      <c r="AC56" s="71" t="s">
        <v>126</v>
      </c>
      <c r="AD56" s="71" t="s">
        <v>127</v>
      </c>
    </row>
    <row r="57" spans="2:30" s="205" customFormat="1">
      <c r="B57" s="43" t="s">
        <v>7</v>
      </c>
      <c r="C57" s="793" t="s">
        <v>45</v>
      </c>
      <c r="D57" s="780" t="s">
        <v>82</v>
      </c>
      <c r="E57" s="789" t="s">
        <v>107</v>
      </c>
      <c r="F57" s="780"/>
      <c r="G57" s="780" t="s">
        <v>108</v>
      </c>
      <c r="H57" s="780" t="s">
        <v>112</v>
      </c>
      <c r="I57" s="780" t="s">
        <v>109</v>
      </c>
      <c r="J57" s="780" t="s">
        <v>51</v>
      </c>
      <c r="K57" s="780" t="s">
        <v>53</v>
      </c>
      <c r="L57" s="780" t="s">
        <v>108</v>
      </c>
      <c r="M57" s="780" t="s">
        <v>112</v>
      </c>
      <c r="N57" s="780" t="s">
        <v>109</v>
      </c>
      <c r="O57" s="780" t="s">
        <v>51</v>
      </c>
      <c r="P57" s="780" t="s">
        <v>53</v>
      </c>
      <c r="Q57" s="780" t="s">
        <v>123</v>
      </c>
      <c r="R57" s="780" t="s">
        <v>124</v>
      </c>
      <c r="S57" s="223" t="s">
        <v>45</v>
      </c>
      <c r="T57" s="224" t="s">
        <v>107</v>
      </c>
      <c r="U57" s="223" t="s">
        <v>108</v>
      </c>
      <c r="V57" s="223" t="s">
        <v>112</v>
      </c>
      <c r="W57" s="52" t="s">
        <v>53</v>
      </c>
      <c r="X57" s="223" t="s">
        <v>108</v>
      </c>
      <c r="Y57" s="223" t="s">
        <v>112</v>
      </c>
      <c r="Z57" s="52" t="s">
        <v>53</v>
      </c>
      <c r="AA57" s="52" t="s">
        <v>123</v>
      </c>
      <c r="AB57" s="52" t="s">
        <v>124</v>
      </c>
      <c r="AC57" s="46" t="s">
        <v>123</v>
      </c>
      <c r="AD57" s="46" t="s">
        <v>124</v>
      </c>
    </row>
    <row r="58" spans="2:30" s="205" customFormat="1">
      <c r="B58" s="50" t="s">
        <v>77</v>
      </c>
      <c r="C58" s="37" t="s">
        <v>50</v>
      </c>
      <c r="D58" s="37">
        <v>2020</v>
      </c>
      <c r="E58" s="37">
        <v>5</v>
      </c>
      <c r="F58" s="64">
        <v>1.3</v>
      </c>
      <c r="G58" s="74">
        <v>26</v>
      </c>
      <c r="H58" s="75">
        <v>8.11</v>
      </c>
      <c r="I58" s="37">
        <v>8</v>
      </c>
      <c r="J58" s="37">
        <v>60</v>
      </c>
      <c r="K58" s="66">
        <v>480</v>
      </c>
      <c r="L58" s="37">
        <v>30</v>
      </c>
      <c r="M58" s="75">
        <v>8.5</v>
      </c>
      <c r="N58" s="37">
        <v>8</v>
      </c>
      <c r="O58" s="37">
        <v>90</v>
      </c>
      <c r="P58" s="66">
        <v>720</v>
      </c>
      <c r="Q58" s="49">
        <v>19890</v>
      </c>
      <c r="R58" s="222">
        <v>8552.7000000000007</v>
      </c>
      <c r="S58" s="233" t="s">
        <v>115</v>
      </c>
      <c r="T58" s="233">
        <v>5</v>
      </c>
      <c r="U58" s="234">
        <v>26</v>
      </c>
      <c r="V58" s="235">
        <v>7.8</v>
      </c>
      <c r="W58" s="232">
        <v>480</v>
      </c>
      <c r="X58" s="234">
        <v>30</v>
      </c>
      <c r="Y58" s="233">
        <v>8.3000000000000007</v>
      </c>
      <c r="Z58" s="201">
        <v>720</v>
      </c>
      <c r="AA58" s="66">
        <v>14940</v>
      </c>
      <c r="AB58" s="66">
        <v>6424.2</v>
      </c>
      <c r="AC58" s="66">
        <v>4950</v>
      </c>
      <c r="AD58" s="66">
        <v>2128.5000000000009</v>
      </c>
    </row>
    <row r="59" spans="2:30" s="205" customFormat="1"/>
    <row r="60" spans="2:30" s="205" customFormat="1"/>
    <row r="61" spans="2:30" s="205" customFormat="1">
      <c r="P61" s="786" t="s">
        <v>463</v>
      </c>
      <c r="Q61" s="787"/>
      <c r="R61" s="787"/>
      <c r="S61" s="230"/>
      <c r="T61" s="787"/>
      <c r="U61" s="788"/>
    </row>
    <row r="62" spans="2:30" s="205" customFormat="1">
      <c r="P62" s="786" t="s">
        <v>477</v>
      </c>
      <c r="Q62" s="787"/>
      <c r="R62" s="787"/>
      <c r="S62" s="47" t="s">
        <v>115</v>
      </c>
      <c r="T62" s="787"/>
      <c r="U62" s="788"/>
    </row>
    <row r="63" spans="2:30" s="205" customFormat="1" ht="18.5" thickBot="1">
      <c r="P63" s="786" t="s">
        <v>478</v>
      </c>
      <c r="Q63" s="787"/>
      <c r="R63" s="788"/>
      <c r="S63" s="231" t="s">
        <v>479</v>
      </c>
      <c r="T63" s="787"/>
      <c r="U63" s="788"/>
    </row>
    <row r="64" spans="2:30" s="205" customFormat="1">
      <c r="P64" s="47" t="s">
        <v>480</v>
      </c>
      <c r="Q64" s="786"/>
      <c r="R64" s="787"/>
      <c r="S64" s="227">
        <v>26</v>
      </c>
      <c r="T64" s="787"/>
      <c r="U64" s="788"/>
    </row>
    <row r="65" spans="1:21" s="205" customFormat="1">
      <c r="P65" s="47" t="s">
        <v>481</v>
      </c>
      <c r="Q65" s="786"/>
      <c r="R65" s="787"/>
      <c r="S65" s="228">
        <v>7.8</v>
      </c>
      <c r="T65" s="787"/>
      <c r="U65" s="788"/>
    </row>
    <row r="66" spans="1:21" s="205" customFormat="1">
      <c r="P66" s="47" t="s">
        <v>482</v>
      </c>
      <c r="Q66" s="786"/>
      <c r="R66" s="787"/>
      <c r="S66" s="228">
        <v>30</v>
      </c>
      <c r="T66" s="787"/>
      <c r="U66" s="788"/>
    </row>
    <row r="67" spans="1:21" s="205" customFormat="1" ht="18.5" thickBot="1">
      <c r="P67" s="47" t="s">
        <v>483</v>
      </c>
      <c r="Q67" s="786"/>
      <c r="R67" s="787"/>
      <c r="S67" s="229">
        <v>8.3000000000000007</v>
      </c>
      <c r="T67" s="787"/>
      <c r="U67" s="788"/>
    </row>
    <row r="68" spans="1:21" s="205" customFormat="1">
      <c r="P68" s="47" t="s">
        <v>484</v>
      </c>
      <c r="Q68" s="786"/>
      <c r="R68" s="788"/>
      <c r="S68" s="226">
        <v>23.8</v>
      </c>
      <c r="T68" s="787"/>
      <c r="U68" s="788"/>
    </row>
    <row r="69" spans="1:21" s="205" customFormat="1">
      <c r="P69" s="47" t="s">
        <v>485</v>
      </c>
      <c r="Q69" s="786"/>
      <c r="R69" s="788"/>
      <c r="S69" s="225">
        <v>13.7</v>
      </c>
      <c r="T69" s="787"/>
      <c r="U69" s="788"/>
    </row>
    <row r="70" spans="1:21" s="205" customFormat="1"/>
    <row r="71" spans="1:21" s="205" customFormat="1"/>
    <row r="72" spans="1:21" s="236" customFormat="1"/>
    <row r="73" spans="1:21" s="236" customFormat="1" ht="23.5">
      <c r="A73" s="237" t="s">
        <v>1132</v>
      </c>
    </row>
    <row r="74" spans="1:21" s="236" customFormat="1"/>
    <row r="75" spans="1:21" s="236" customFormat="1"/>
    <row r="76" spans="1:21" s="236" customFormat="1">
      <c r="B76" s="46" t="s">
        <v>489</v>
      </c>
      <c r="C76" s="46" t="s">
        <v>490</v>
      </c>
    </row>
    <row r="77" spans="1:21" s="236" customFormat="1">
      <c r="B77" s="72" t="s">
        <v>1114</v>
      </c>
      <c r="C77" s="73" t="s">
        <v>492</v>
      </c>
    </row>
    <row r="78" spans="1:21" s="236" customFormat="1"/>
    <row r="79" spans="1:21" s="236" customFormat="1"/>
    <row r="80" spans="1:21" s="236" customFormat="1"/>
    <row r="81" spans="2:37" s="236" customFormat="1">
      <c r="B81" s="1762" t="s">
        <v>859</v>
      </c>
      <c r="C81" s="1763"/>
      <c r="D81" s="1763"/>
      <c r="E81" s="1764"/>
    </row>
    <row r="82" spans="2:37" s="236" customFormat="1">
      <c r="B82" s="555" t="s">
        <v>596</v>
      </c>
      <c r="C82" s="311">
        <v>0.5</v>
      </c>
      <c r="D82" s="555" t="s">
        <v>597</v>
      </c>
      <c r="E82" s="311">
        <v>0.4</v>
      </c>
    </row>
    <row r="83" spans="2:37" s="236" customFormat="1"/>
    <row r="84" spans="2:37" s="236" customFormat="1"/>
    <row r="85" spans="2:37" s="236" customFormat="1">
      <c r="B85" s="1756" t="s">
        <v>336</v>
      </c>
      <c r="C85" s="16" t="s">
        <v>54</v>
      </c>
      <c r="D85" s="62"/>
      <c r="E85" s="62"/>
      <c r="F85" s="62"/>
      <c r="G85" s="24"/>
      <c r="H85" s="24"/>
      <c r="I85" s="24"/>
      <c r="J85" s="24"/>
      <c r="K85" s="24"/>
      <c r="L85" s="24"/>
      <c r="M85" s="24"/>
      <c r="N85" s="24"/>
      <c r="O85" s="24"/>
      <c r="P85" s="24"/>
      <c r="Q85" s="24"/>
      <c r="R85" s="24"/>
      <c r="S85" s="24"/>
      <c r="T85" s="24"/>
      <c r="U85" s="14"/>
      <c r="V85" s="57" t="s">
        <v>74</v>
      </c>
      <c r="W85" s="58"/>
      <c r="X85" s="54"/>
      <c r="Y85" s="54"/>
      <c r="Z85" s="54"/>
      <c r="AA85" s="54"/>
      <c r="AB85" s="54"/>
      <c r="AC85" s="54"/>
      <c r="AD85" s="54"/>
      <c r="AE85" s="54"/>
      <c r="AF85" s="54"/>
      <c r="AG85" s="54"/>
      <c r="AH85" s="55"/>
      <c r="AI85" s="67" t="s">
        <v>58</v>
      </c>
      <c r="AJ85" s="110"/>
      <c r="AK85" s="68"/>
    </row>
    <row r="86" spans="2:37" s="236" customFormat="1">
      <c r="B86" s="1757"/>
      <c r="C86" s="17"/>
      <c r="D86" s="63"/>
      <c r="E86" s="63"/>
      <c r="F86" s="18"/>
      <c r="G86" s="13" t="s">
        <v>105</v>
      </c>
      <c r="H86" s="24"/>
      <c r="I86" s="24"/>
      <c r="J86" s="24"/>
      <c r="K86" s="24"/>
      <c r="L86" s="14"/>
      <c r="M86" s="13" t="s">
        <v>106</v>
      </c>
      <c r="N86" s="24"/>
      <c r="O86" s="24"/>
      <c r="P86" s="24"/>
      <c r="Q86" s="24"/>
      <c r="R86" s="14"/>
      <c r="S86" s="13" t="s">
        <v>113</v>
      </c>
      <c r="T86" s="24"/>
      <c r="U86" s="14"/>
      <c r="V86" s="59"/>
      <c r="W86" s="60"/>
      <c r="X86" s="53" t="s">
        <v>105</v>
      </c>
      <c r="Y86" s="54"/>
      <c r="Z86" s="54"/>
      <c r="AA86" s="55"/>
      <c r="AB86" s="56" t="s">
        <v>117</v>
      </c>
      <c r="AC86" s="54"/>
      <c r="AD86" s="54"/>
      <c r="AE86" s="55"/>
      <c r="AF86" s="53" t="s">
        <v>118</v>
      </c>
      <c r="AG86" s="54"/>
      <c r="AH86" s="55"/>
      <c r="AI86" s="69"/>
      <c r="AJ86" s="111"/>
      <c r="AK86" s="70"/>
    </row>
    <row r="87" spans="2:37" s="236" customFormat="1" ht="65">
      <c r="B87" s="1758"/>
      <c r="C87" s="792" t="s">
        <v>44</v>
      </c>
      <c r="D87" s="789" t="s">
        <v>92</v>
      </c>
      <c r="E87" s="789" t="s">
        <v>93</v>
      </c>
      <c r="F87" s="789" t="s">
        <v>94</v>
      </c>
      <c r="G87" s="780" t="s">
        <v>95</v>
      </c>
      <c r="H87" s="789" t="s">
        <v>623</v>
      </c>
      <c r="I87" s="789" t="s">
        <v>687</v>
      </c>
      <c r="J87" s="789" t="s">
        <v>98</v>
      </c>
      <c r="K87" s="789" t="s">
        <v>99</v>
      </c>
      <c r="L87" s="789" t="s">
        <v>104</v>
      </c>
      <c r="M87" s="780" t="s">
        <v>96</v>
      </c>
      <c r="N87" s="789" t="s">
        <v>623</v>
      </c>
      <c r="O87" s="789" t="s">
        <v>687</v>
      </c>
      <c r="P87" s="789" t="s">
        <v>98</v>
      </c>
      <c r="Q87" s="789" t="s">
        <v>99</v>
      </c>
      <c r="R87" s="789" t="s">
        <v>103</v>
      </c>
      <c r="S87" s="789" t="s">
        <v>357</v>
      </c>
      <c r="T87" s="789" t="s">
        <v>361</v>
      </c>
      <c r="U87" s="789" t="s">
        <v>101</v>
      </c>
      <c r="V87" s="51" t="s">
        <v>97</v>
      </c>
      <c r="W87" s="51" t="s">
        <v>116</v>
      </c>
      <c r="X87" s="51" t="s">
        <v>96</v>
      </c>
      <c r="Y87" s="51" t="s">
        <v>188</v>
      </c>
      <c r="Z87" s="51" t="s">
        <v>360</v>
      </c>
      <c r="AA87" s="51" t="s">
        <v>191</v>
      </c>
      <c r="AB87" s="51" t="s">
        <v>96</v>
      </c>
      <c r="AC87" s="51" t="s">
        <v>189</v>
      </c>
      <c r="AD87" s="51" t="s">
        <v>360</v>
      </c>
      <c r="AE87" s="51" t="s">
        <v>190</v>
      </c>
      <c r="AF87" s="51" t="s">
        <v>358</v>
      </c>
      <c r="AG87" s="51" t="s">
        <v>359</v>
      </c>
      <c r="AH87" s="51" t="s">
        <v>102</v>
      </c>
      <c r="AI87" s="71" t="s">
        <v>126</v>
      </c>
      <c r="AJ87" s="71" t="s">
        <v>194</v>
      </c>
      <c r="AK87" s="71" t="s">
        <v>127</v>
      </c>
    </row>
    <row r="88" spans="2:37" s="236" customFormat="1">
      <c r="B88" s="43" t="s">
        <v>7</v>
      </c>
      <c r="C88" s="793" t="s">
        <v>45</v>
      </c>
      <c r="D88" s="780" t="s">
        <v>82</v>
      </c>
      <c r="E88" s="789" t="s">
        <v>107</v>
      </c>
      <c r="F88" s="780"/>
      <c r="G88" s="780" t="s">
        <v>108</v>
      </c>
      <c r="H88" s="780" t="s">
        <v>112</v>
      </c>
      <c r="I88" s="780" t="s">
        <v>112</v>
      </c>
      <c r="J88" s="780" t="s">
        <v>109</v>
      </c>
      <c r="K88" s="780" t="s">
        <v>51</v>
      </c>
      <c r="L88" s="780" t="s">
        <v>53</v>
      </c>
      <c r="M88" s="780" t="s">
        <v>108</v>
      </c>
      <c r="N88" s="780" t="s">
        <v>112</v>
      </c>
      <c r="O88" s="780" t="s">
        <v>112</v>
      </c>
      <c r="P88" s="780" t="s">
        <v>109</v>
      </c>
      <c r="Q88" s="780" t="s">
        <v>51</v>
      </c>
      <c r="R88" s="780" t="s">
        <v>53</v>
      </c>
      <c r="S88" s="780" t="s">
        <v>123</v>
      </c>
      <c r="T88" s="780" t="s">
        <v>193</v>
      </c>
      <c r="U88" s="780" t="s">
        <v>124</v>
      </c>
      <c r="V88" s="52" t="s">
        <v>45</v>
      </c>
      <c r="W88" s="51" t="s">
        <v>107</v>
      </c>
      <c r="X88" s="52" t="s">
        <v>108</v>
      </c>
      <c r="Y88" s="52" t="s">
        <v>112</v>
      </c>
      <c r="Z88" s="52" t="s">
        <v>112</v>
      </c>
      <c r="AA88" s="52" t="s">
        <v>53</v>
      </c>
      <c r="AB88" s="52" t="s">
        <v>108</v>
      </c>
      <c r="AC88" s="52" t="s">
        <v>112</v>
      </c>
      <c r="AD88" s="52" t="s">
        <v>112</v>
      </c>
      <c r="AE88" s="52" t="s">
        <v>53</v>
      </c>
      <c r="AF88" s="52" t="s">
        <v>123</v>
      </c>
      <c r="AG88" s="52" t="s">
        <v>193</v>
      </c>
      <c r="AH88" s="52" t="s">
        <v>124</v>
      </c>
      <c r="AI88" s="46" t="s">
        <v>123</v>
      </c>
      <c r="AJ88" s="46" t="s">
        <v>193</v>
      </c>
      <c r="AK88" s="46" t="s">
        <v>124</v>
      </c>
    </row>
    <row r="89" spans="2:37" s="236" customFormat="1">
      <c r="B89" s="50" t="s">
        <v>77</v>
      </c>
      <c r="C89" s="37" t="s">
        <v>50</v>
      </c>
      <c r="D89" s="37">
        <v>2020</v>
      </c>
      <c r="E89" s="37">
        <v>5</v>
      </c>
      <c r="F89" s="64">
        <v>1.3</v>
      </c>
      <c r="G89" s="74">
        <v>26</v>
      </c>
      <c r="H89" s="109">
        <v>8.11</v>
      </c>
      <c r="I89" s="109">
        <v>10</v>
      </c>
      <c r="J89" s="37">
        <v>8</v>
      </c>
      <c r="K89" s="37">
        <v>120</v>
      </c>
      <c r="L89" s="66">
        <v>960</v>
      </c>
      <c r="M89" s="37">
        <v>30</v>
      </c>
      <c r="N89" s="109">
        <v>8.5</v>
      </c>
      <c r="O89" s="109">
        <v>10</v>
      </c>
      <c r="P89" s="37">
        <v>8</v>
      </c>
      <c r="Q89" s="47">
        <v>90</v>
      </c>
      <c r="R89" s="66">
        <v>720</v>
      </c>
      <c r="S89" s="66">
        <v>19890</v>
      </c>
      <c r="T89" s="66">
        <v>1829.4545454545455</v>
      </c>
      <c r="U89" s="66">
        <v>12467.732727272729</v>
      </c>
      <c r="V89" s="37" t="s">
        <v>115</v>
      </c>
      <c r="W89" s="37">
        <v>5</v>
      </c>
      <c r="X89" s="74">
        <v>26</v>
      </c>
      <c r="Y89" s="109">
        <v>7.8</v>
      </c>
      <c r="Z89" s="109">
        <v>9</v>
      </c>
      <c r="AA89" s="66">
        <v>960</v>
      </c>
      <c r="AB89" s="37">
        <v>30</v>
      </c>
      <c r="AC89" s="75">
        <v>8.3000000000000007</v>
      </c>
      <c r="AD89" s="75">
        <v>9</v>
      </c>
      <c r="AE89" s="49">
        <v>720</v>
      </c>
      <c r="AF89" s="66">
        <v>14940</v>
      </c>
      <c r="AG89" s="66">
        <v>1168.0363636363638</v>
      </c>
      <c r="AH89" s="66">
        <v>8923.797818181818</v>
      </c>
      <c r="AI89" s="66">
        <v>4950</v>
      </c>
      <c r="AJ89" s="66">
        <v>661.41818181818167</v>
      </c>
      <c r="AK89" s="66">
        <v>3543.9349090909109</v>
      </c>
    </row>
    <row r="90" spans="2:37" s="236" customFormat="1"/>
    <row r="91" spans="2:37" s="236" customFormat="1"/>
    <row r="92" spans="2:37" s="236" customFormat="1">
      <c r="T92" s="786" t="s">
        <v>463</v>
      </c>
      <c r="U92" s="787"/>
      <c r="V92" s="787"/>
      <c r="W92" s="787"/>
      <c r="X92" s="787"/>
      <c r="Y92" s="788"/>
    </row>
    <row r="93" spans="2:37" s="236" customFormat="1">
      <c r="T93" s="786" t="s">
        <v>477</v>
      </c>
      <c r="U93" s="787"/>
      <c r="V93" s="788"/>
      <c r="W93" s="786" t="s">
        <v>115</v>
      </c>
      <c r="X93" s="787"/>
      <c r="Y93" s="788"/>
    </row>
    <row r="94" spans="2:37" s="236" customFormat="1" ht="18.5" thickBot="1">
      <c r="T94" s="245" t="s">
        <v>478</v>
      </c>
      <c r="U94" s="230"/>
      <c r="V94" s="246"/>
      <c r="W94" s="245" t="s">
        <v>493</v>
      </c>
      <c r="X94" s="787"/>
      <c r="Y94" s="788"/>
    </row>
    <row r="95" spans="2:37" s="236" customFormat="1">
      <c r="T95" s="1759" t="s">
        <v>494</v>
      </c>
      <c r="U95" s="250" t="s">
        <v>495</v>
      </c>
      <c r="V95" s="251"/>
      <c r="W95" s="252">
        <v>26</v>
      </c>
      <c r="X95" s="787"/>
      <c r="Y95" s="788"/>
    </row>
    <row r="96" spans="2:37" s="236" customFormat="1">
      <c r="T96" s="1760"/>
      <c r="U96" s="786" t="s">
        <v>496</v>
      </c>
      <c r="V96" s="788"/>
      <c r="W96" s="263">
        <v>7.8</v>
      </c>
      <c r="X96" s="787"/>
      <c r="Y96" s="788"/>
    </row>
    <row r="97" spans="20:25" s="236" customFormat="1" ht="18.5" thickBot="1">
      <c r="T97" s="1761"/>
      <c r="U97" s="253" t="s">
        <v>497</v>
      </c>
      <c r="V97" s="254"/>
      <c r="W97" s="266">
        <v>9</v>
      </c>
      <c r="X97" s="787"/>
      <c r="Y97" s="788"/>
    </row>
    <row r="98" spans="20:25" s="236" customFormat="1">
      <c r="T98" s="1742" t="s">
        <v>498</v>
      </c>
      <c r="U98" s="247" t="s">
        <v>495</v>
      </c>
      <c r="V98" s="248"/>
      <c r="W98" s="249">
        <v>12.3</v>
      </c>
      <c r="X98" s="787"/>
      <c r="Y98" s="788"/>
    </row>
    <row r="99" spans="20:25" s="236" customFormat="1">
      <c r="T99" s="1742"/>
      <c r="U99" s="786" t="s">
        <v>496</v>
      </c>
      <c r="V99" s="788"/>
      <c r="W99" s="267">
        <v>5</v>
      </c>
      <c r="X99" s="787"/>
      <c r="Y99" s="788"/>
    </row>
    <row r="100" spans="20:25" s="236" customFormat="1" ht="18.5" thickBot="1">
      <c r="T100" s="1742"/>
      <c r="U100" s="245" t="s">
        <v>497</v>
      </c>
      <c r="V100" s="246"/>
      <c r="W100" s="268">
        <v>9.5</v>
      </c>
      <c r="X100" s="787"/>
      <c r="Y100" s="788"/>
    </row>
    <row r="101" spans="20:25" s="239" customFormat="1">
      <c r="T101" s="1743" t="s">
        <v>499</v>
      </c>
      <c r="U101" s="258" t="s">
        <v>495</v>
      </c>
      <c r="V101" s="259"/>
      <c r="W101" s="260">
        <v>30</v>
      </c>
      <c r="X101" s="242"/>
      <c r="Y101" s="243"/>
    </row>
    <row r="102" spans="20:25" s="239" customFormat="1">
      <c r="T102" s="1744"/>
      <c r="U102" s="240" t="s">
        <v>496</v>
      </c>
      <c r="V102" s="241"/>
      <c r="W102" s="264">
        <v>8.3000000000000007</v>
      </c>
      <c r="X102" s="242"/>
      <c r="Y102" s="243"/>
    </row>
    <row r="103" spans="20:25" s="239" customFormat="1" ht="18.5" thickBot="1">
      <c r="T103" s="1745"/>
      <c r="U103" s="261" t="s">
        <v>497</v>
      </c>
      <c r="V103" s="262"/>
      <c r="W103" s="269">
        <v>9</v>
      </c>
      <c r="X103" s="242"/>
      <c r="Y103" s="243"/>
    </row>
    <row r="104" spans="20:25" s="239" customFormat="1">
      <c r="T104" s="1746" t="s">
        <v>500</v>
      </c>
      <c r="U104" s="255" t="s">
        <v>495</v>
      </c>
      <c r="V104" s="256"/>
      <c r="W104" s="257">
        <v>13.7</v>
      </c>
      <c r="X104" s="242"/>
      <c r="Y104" s="243"/>
    </row>
    <row r="105" spans="20:25" s="239" customFormat="1">
      <c r="T105" s="1746"/>
      <c r="U105" s="240" t="s">
        <v>496</v>
      </c>
      <c r="V105" s="241"/>
      <c r="W105" s="265">
        <v>5</v>
      </c>
      <c r="X105" s="242"/>
      <c r="Y105" s="243"/>
    </row>
    <row r="106" spans="20:25" s="239" customFormat="1">
      <c r="T106" s="1747"/>
      <c r="U106" s="240" t="s">
        <v>497</v>
      </c>
      <c r="V106" s="241"/>
      <c r="W106" s="265">
        <v>7.2</v>
      </c>
      <c r="X106" s="242"/>
      <c r="Y106" s="243"/>
    </row>
    <row r="107" spans="20:25" s="239" customFormat="1" ht="18.75" customHeight="1">
      <c r="T107" s="1748" t="s">
        <v>501</v>
      </c>
      <c r="U107" s="240" t="s">
        <v>495</v>
      </c>
      <c r="V107" s="241"/>
      <c r="W107" s="244">
        <v>25</v>
      </c>
      <c r="X107" s="242"/>
      <c r="Y107" s="243"/>
    </row>
    <row r="108" spans="20:25" s="239" customFormat="1">
      <c r="T108" s="1749"/>
      <c r="U108" s="240" t="s">
        <v>496</v>
      </c>
      <c r="V108" s="241"/>
      <c r="W108" s="265">
        <v>0.496</v>
      </c>
      <c r="X108" s="242"/>
      <c r="Y108" s="243"/>
    </row>
    <row r="109" spans="20:25" s="239" customFormat="1">
      <c r="T109" s="1750"/>
      <c r="U109" s="240" t="s">
        <v>497</v>
      </c>
      <c r="V109" s="241"/>
      <c r="W109" s="265">
        <v>27</v>
      </c>
      <c r="X109" s="242"/>
      <c r="Y109" s="243"/>
    </row>
    <row r="110" spans="20:25" s="236" customFormat="1"/>
    <row r="111" spans="20:25" s="236" customFormat="1"/>
    <row r="112" spans="20:25" s="270" customFormat="1"/>
    <row r="113" spans="1:40" s="270" customFormat="1" ht="23.5">
      <c r="A113" s="271" t="s">
        <v>1133</v>
      </c>
    </row>
    <row r="114" spans="1:40" s="270" customFormat="1" ht="23.5">
      <c r="A114" s="271"/>
    </row>
    <row r="115" spans="1:40" s="270" customFormat="1" ht="23.5">
      <c r="A115" s="271"/>
    </row>
    <row r="116" spans="1:40" s="270" customFormat="1"/>
    <row r="117" spans="1:40" s="270" customFormat="1"/>
    <row r="118" spans="1:40" s="270" customFormat="1"/>
    <row r="119" spans="1:40" s="270" customFormat="1"/>
    <row r="120" spans="1:40" s="270" customFormat="1"/>
    <row r="121" spans="1:40" s="270" customFormat="1"/>
    <row r="122" spans="1:40" s="270" customFormat="1"/>
    <row r="123" spans="1:40" s="270" customFormat="1"/>
    <row r="124" spans="1:40" s="270" customFormat="1">
      <c r="B124" s="1728" t="s">
        <v>337</v>
      </c>
      <c r="C124" s="139" t="s">
        <v>199</v>
      </c>
      <c r="D124" s="140"/>
      <c r="E124" s="140"/>
      <c r="F124" s="140"/>
      <c r="G124" s="140"/>
      <c r="H124" s="140"/>
      <c r="I124" s="140"/>
      <c r="J124" s="140"/>
      <c r="K124" s="140"/>
      <c r="L124" s="140"/>
      <c r="M124" s="140"/>
      <c r="N124" s="140"/>
      <c r="O124" s="140"/>
      <c r="P124" s="140"/>
      <c r="Q124" s="140"/>
      <c r="R124" s="140"/>
      <c r="S124" s="140"/>
      <c r="T124" s="140"/>
      <c r="U124" s="140"/>
      <c r="V124" s="140"/>
      <c r="W124" s="140"/>
      <c r="X124" s="142"/>
      <c r="Y124" s="151" t="s">
        <v>200</v>
      </c>
      <c r="Z124" s="152"/>
      <c r="AA124" s="152"/>
      <c r="AB124" s="152"/>
      <c r="AC124" s="152"/>
      <c r="AD124" s="152"/>
      <c r="AE124" s="152"/>
      <c r="AF124" s="152"/>
      <c r="AG124" s="152"/>
      <c r="AH124" s="152"/>
      <c r="AI124" s="152"/>
      <c r="AJ124" s="152"/>
      <c r="AK124" s="152"/>
      <c r="AL124" s="153"/>
      <c r="AM124" s="155" t="s">
        <v>210</v>
      </c>
      <c r="AN124" s="156"/>
    </row>
    <row r="125" spans="1:40" s="270" customFormat="1" ht="39">
      <c r="B125" s="1726"/>
      <c r="C125" s="126" t="s">
        <v>233</v>
      </c>
      <c r="D125" s="126" t="s">
        <v>234</v>
      </c>
      <c r="E125" s="126" t="s">
        <v>235</v>
      </c>
      <c r="F125" s="126" t="s">
        <v>236</v>
      </c>
      <c r="G125" s="128" t="s">
        <v>237</v>
      </c>
      <c r="H125" s="128" t="s">
        <v>238</v>
      </c>
      <c r="I125" s="125" t="s">
        <v>239</v>
      </c>
      <c r="J125" s="126" t="s">
        <v>240</v>
      </c>
      <c r="K125" s="126" t="s">
        <v>241</v>
      </c>
      <c r="L125" s="126" t="s">
        <v>242</v>
      </c>
      <c r="M125" s="126" t="s">
        <v>243</v>
      </c>
      <c r="N125" s="126" t="s">
        <v>368</v>
      </c>
      <c r="O125" s="126" t="s">
        <v>238</v>
      </c>
      <c r="P125" s="126" t="s">
        <v>244</v>
      </c>
      <c r="Q125" s="126" t="s">
        <v>367</v>
      </c>
      <c r="R125" s="126" t="s">
        <v>366</v>
      </c>
      <c r="S125" s="126" t="s">
        <v>245</v>
      </c>
      <c r="T125" s="126" t="s">
        <v>246</v>
      </c>
      <c r="U125" s="126" t="s">
        <v>365</v>
      </c>
      <c r="V125" s="126" t="s">
        <v>373</v>
      </c>
      <c r="W125" s="126" t="s">
        <v>232</v>
      </c>
      <c r="X125" s="126" t="s">
        <v>364</v>
      </c>
      <c r="Y125" s="133" t="s">
        <v>233</v>
      </c>
      <c r="Z125" s="133" t="s">
        <v>215</v>
      </c>
      <c r="AA125" s="132" t="s">
        <v>237</v>
      </c>
      <c r="AB125" s="133" t="s">
        <v>241</v>
      </c>
      <c r="AC125" s="133" t="s">
        <v>242</v>
      </c>
      <c r="AD125" s="133" t="s">
        <v>243</v>
      </c>
      <c r="AE125" s="133" t="s">
        <v>247</v>
      </c>
      <c r="AF125" s="133" t="s">
        <v>238</v>
      </c>
      <c r="AG125" s="133" t="s">
        <v>363</v>
      </c>
      <c r="AH125" s="133" t="s">
        <v>245</v>
      </c>
      <c r="AI125" s="133" t="s">
        <v>362</v>
      </c>
      <c r="AJ125" s="133" t="s">
        <v>218</v>
      </c>
      <c r="AK125" s="133" t="s">
        <v>232</v>
      </c>
      <c r="AL125" s="133" t="s">
        <v>364</v>
      </c>
      <c r="AM125" s="138" t="s">
        <v>248</v>
      </c>
      <c r="AN125" s="157" t="s">
        <v>232</v>
      </c>
    </row>
    <row r="126" spans="1:40" s="270" customFormat="1" ht="24" customHeight="1">
      <c r="B126" s="127" t="s">
        <v>198</v>
      </c>
      <c r="C126" s="127"/>
      <c r="D126" s="127"/>
      <c r="E126" s="127"/>
      <c r="F126" s="128" t="s">
        <v>219</v>
      </c>
      <c r="G126" s="127"/>
      <c r="H126" s="127"/>
      <c r="I126" s="127"/>
      <c r="J126" s="127"/>
      <c r="K126" s="127"/>
      <c r="L126" s="127"/>
      <c r="M126" s="128" t="s">
        <v>249</v>
      </c>
      <c r="N126" s="143" t="str">
        <f>"/(台・h)"</f>
        <v>/(台・h)</v>
      </c>
      <c r="O126" s="143"/>
      <c r="P126" s="128" t="s">
        <v>250</v>
      </c>
      <c r="Q126" s="128" t="s">
        <v>251</v>
      </c>
      <c r="R126" s="128" t="s">
        <v>252</v>
      </c>
      <c r="S126" s="128" t="s">
        <v>249</v>
      </c>
      <c r="T126" s="143" t="s">
        <v>253</v>
      </c>
      <c r="U126" s="150" t="str">
        <f>"/年"</f>
        <v>/年</v>
      </c>
      <c r="V126" s="126" t="s">
        <v>374</v>
      </c>
      <c r="W126" s="126" t="s">
        <v>254</v>
      </c>
      <c r="X126" s="128" t="s">
        <v>209</v>
      </c>
      <c r="Y126" s="133"/>
      <c r="Z126" s="132" t="s">
        <v>219</v>
      </c>
      <c r="AA126" s="133"/>
      <c r="AB126" s="160"/>
      <c r="AC126" s="160"/>
      <c r="AD126" s="154" t="s">
        <v>249</v>
      </c>
      <c r="AE126" s="161" t="str">
        <f>"/(台・h)"</f>
        <v>/(台・h)</v>
      </c>
      <c r="AF126" s="161"/>
      <c r="AG126" s="132" t="s">
        <v>252</v>
      </c>
      <c r="AH126" s="132" t="s">
        <v>249</v>
      </c>
      <c r="AI126" s="162" t="str">
        <f>"/年"</f>
        <v>/年</v>
      </c>
      <c r="AJ126" s="133" t="s">
        <v>374</v>
      </c>
      <c r="AK126" s="133" t="s">
        <v>254</v>
      </c>
      <c r="AL126" s="132" t="s">
        <v>209</v>
      </c>
      <c r="AM126" s="138" t="s">
        <v>374</v>
      </c>
      <c r="AN126" s="138" t="s">
        <v>254</v>
      </c>
    </row>
    <row r="127" spans="1:40" s="270" customFormat="1">
      <c r="B127" s="798" t="s">
        <v>255</v>
      </c>
      <c r="C127" s="799" t="s">
        <v>256</v>
      </c>
      <c r="D127" s="800" t="s">
        <v>1115</v>
      </c>
      <c r="E127" s="803">
        <v>2018</v>
      </c>
      <c r="F127" s="804">
        <v>2</v>
      </c>
      <c r="G127" s="824" t="s">
        <v>257</v>
      </c>
      <c r="H127" s="798" t="s">
        <v>558</v>
      </c>
      <c r="I127" s="801">
        <v>1.3</v>
      </c>
      <c r="J127" s="801" t="s">
        <v>121</v>
      </c>
      <c r="K127" s="802">
        <v>40</v>
      </c>
      <c r="L127" s="822" t="s">
        <v>258</v>
      </c>
      <c r="M127" s="823">
        <v>4.2417815482502652</v>
      </c>
      <c r="N127" s="804">
        <v>9.43</v>
      </c>
      <c r="O127" s="805" t="s">
        <v>558</v>
      </c>
      <c r="P127" s="804">
        <v>10</v>
      </c>
      <c r="Q127" s="804">
        <v>365</v>
      </c>
      <c r="R127" s="806">
        <v>3650</v>
      </c>
      <c r="S127" s="807">
        <v>0.4</v>
      </c>
      <c r="T127" s="808">
        <v>138.24</v>
      </c>
      <c r="U127" s="809">
        <v>35796.280000000006</v>
      </c>
      <c r="V127" s="810">
        <v>15392.400400000002</v>
      </c>
      <c r="W127" s="811">
        <v>2866289.6375838933</v>
      </c>
      <c r="X127" s="812">
        <v>7.9794203673600022</v>
      </c>
      <c r="Y127" s="813" t="s">
        <v>259</v>
      </c>
      <c r="Z127" s="804">
        <v>2</v>
      </c>
      <c r="AA127" s="814" t="s">
        <v>257</v>
      </c>
      <c r="AB127" s="802">
        <v>40</v>
      </c>
      <c r="AC127" s="822" t="s">
        <v>258</v>
      </c>
      <c r="AD127" s="815">
        <v>4.2417815482502652</v>
      </c>
      <c r="AE127" s="816">
        <v>9.43</v>
      </c>
      <c r="AF127" s="805" t="s">
        <v>558</v>
      </c>
      <c r="AG127" s="806">
        <v>3650</v>
      </c>
      <c r="AH127" s="817">
        <v>0.4</v>
      </c>
      <c r="AI127" s="806">
        <v>27535.600000000002</v>
      </c>
      <c r="AJ127" s="818">
        <v>11840.308000000001</v>
      </c>
      <c r="AK127" s="819" t="s">
        <v>121</v>
      </c>
      <c r="AL127" s="820">
        <v>6.1380156672000012</v>
      </c>
      <c r="AM127" s="821">
        <v>3552.0924000000014</v>
      </c>
      <c r="AN127" s="819" t="s">
        <v>121</v>
      </c>
    </row>
    <row r="128" spans="1:40" s="270" customFormat="1"/>
    <row r="129" spans="25:30" s="270" customFormat="1"/>
    <row r="130" spans="25:30" s="270" customFormat="1"/>
    <row r="131" spans="25:30" s="270" customFormat="1">
      <c r="Y131" s="786" t="s">
        <v>502</v>
      </c>
      <c r="Z131" s="787"/>
      <c r="AA131" s="787"/>
      <c r="AB131" s="787"/>
      <c r="AC131" s="787"/>
      <c r="AD131" s="788"/>
    </row>
    <row r="132" spans="25:30" s="270" customFormat="1">
      <c r="Y132" s="786" t="s">
        <v>503</v>
      </c>
      <c r="Z132" s="787"/>
      <c r="AA132" s="788"/>
      <c r="AB132" s="787" t="s">
        <v>504</v>
      </c>
      <c r="AC132" s="787"/>
      <c r="AD132" s="788"/>
    </row>
    <row r="133" spans="25:30" s="270" customFormat="1">
      <c r="Y133" s="1751" t="s">
        <v>505</v>
      </c>
      <c r="Z133" s="787" t="s">
        <v>506</v>
      </c>
      <c r="AA133" s="272"/>
      <c r="AB133" s="788"/>
      <c r="AC133" s="787" t="s">
        <v>507</v>
      </c>
      <c r="AD133" s="788"/>
    </row>
    <row r="134" spans="25:30" s="270" customFormat="1">
      <c r="Y134" s="1752"/>
      <c r="Z134" s="787" t="s">
        <v>508</v>
      </c>
      <c r="AA134" s="787"/>
      <c r="AB134" s="273"/>
      <c r="AC134" s="274" t="s">
        <v>509</v>
      </c>
      <c r="AD134" s="790"/>
    </row>
    <row r="135" spans="25:30" s="270" customFormat="1">
      <c r="Y135" s="1752"/>
      <c r="Z135" s="787" t="s">
        <v>510</v>
      </c>
      <c r="AA135" s="787"/>
      <c r="AB135" s="275"/>
      <c r="AC135" s="276" t="s">
        <v>513</v>
      </c>
      <c r="AD135" s="790"/>
    </row>
    <row r="136" spans="25:30" s="270" customFormat="1">
      <c r="Y136" s="1753"/>
      <c r="Z136" s="787" t="s">
        <v>511</v>
      </c>
      <c r="AA136" s="787"/>
      <c r="AB136" s="273"/>
      <c r="AC136" s="787" t="s">
        <v>512</v>
      </c>
      <c r="AD136" s="790"/>
    </row>
    <row r="137" spans="25:30" s="270" customFormat="1"/>
    <row r="138" spans="25:30" s="270" customFormat="1"/>
    <row r="139" spans="25:30" s="270" customFormat="1"/>
    <row r="140" spans="25:30" s="270" customFormat="1"/>
    <row r="141" spans="25:30" s="270" customFormat="1"/>
    <row r="142" spans="25:30" s="270" customFormat="1"/>
    <row r="143" spans="25:30" s="270" customFormat="1"/>
    <row r="144" spans="25:30" s="277" customFormat="1"/>
    <row r="145" spans="1:34" s="277" customFormat="1" ht="23.5">
      <c r="A145" s="278" t="s">
        <v>1134</v>
      </c>
    </row>
    <row r="146" spans="1:34" s="277" customFormat="1"/>
    <row r="147" spans="1:34" s="277" customFormat="1"/>
    <row r="148" spans="1:34" s="277" customFormat="1"/>
    <row r="149" spans="1:34" s="277" customFormat="1"/>
    <row r="150" spans="1:34" s="277" customFormat="1"/>
    <row r="151" spans="1:34" s="277" customFormat="1"/>
    <row r="152" spans="1:34" s="277" customFormat="1"/>
    <row r="153" spans="1:34" s="277" customFormat="1"/>
    <row r="154" spans="1:34" s="277" customFormat="1"/>
    <row r="155" spans="1:34" s="277" customFormat="1"/>
    <row r="156" spans="1:34" s="277" customFormat="1"/>
    <row r="157" spans="1:34" s="277" customFormat="1"/>
    <row r="158" spans="1:34" s="277" customFormat="1"/>
    <row r="159" spans="1:34" s="277" customFormat="1">
      <c r="B159" s="1728" t="s">
        <v>337</v>
      </c>
      <c r="C159" s="139" t="s">
        <v>199</v>
      </c>
      <c r="D159" s="140"/>
      <c r="E159" s="140"/>
      <c r="F159" s="140"/>
      <c r="G159" s="140"/>
      <c r="H159" s="141"/>
      <c r="I159" s="140"/>
      <c r="J159" s="140"/>
      <c r="K159" s="140"/>
      <c r="L159" s="140"/>
      <c r="M159" s="140"/>
      <c r="N159" s="140"/>
      <c r="O159" s="140"/>
      <c r="P159" s="140"/>
      <c r="Q159" s="140"/>
      <c r="R159" s="142"/>
      <c r="S159" s="151" t="s">
        <v>200</v>
      </c>
      <c r="T159" s="152"/>
      <c r="U159" s="152"/>
      <c r="V159" s="152"/>
      <c r="W159" s="152"/>
      <c r="X159" s="152"/>
      <c r="Y159" s="152"/>
      <c r="Z159" s="152"/>
      <c r="AA159" s="152"/>
      <c r="AB159" s="152"/>
      <c r="AC159" s="152"/>
      <c r="AD159" s="152"/>
      <c r="AE159" s="152"/>
      <c r="AF159" s="153"/>
      <c r="AG159" s="155" t="s">
        <v>210</v>
      </c>
      <c r="AH159" s="156"/>
    </row>
    <row r="160" spans="1:34" s="277" customFormat="1" ht="39">
      <c r="B160" s="1729"/>
      <c r="C160" s="126" t="s">
        <v>223</v>
      </c>
      <c r="D160" s="126" t="s">
        <v>338</v>
      </c>
      <c r="E160" s="126" t="s">
        <v>292</v>
      </c>
      <c r="F160" s="1730" t="s">
        <v>293</v>
      </c>
      <c r="G160" s="1731"/>
      <c r="H160" s="126" t="s">
        <v>339</v>
      </c>
      <c r="I160" s="126" t="s">
        <v>294</v>
      </c>
      <c r="J160" s="126" t="s">
        <v>340</v>
      </c>
      <c r="K160" s="126" t="s">
        <v>295</v>
      </c>
      <c r="L160" s="126" t="s">
        <v>341</v>
      </c>
      <c r="M160" s="126" t="s">
        <v>296</v>
      </c>
      <c r="N160" s="126" t="s">
        <v>244</v>
      </c>
      <c r="O160" s="126" t="s">
        <v>342</v>
      </c>
      <c r="P160" s="126" t="s">
        <v>343</v>
      </c>
      <c r="Q160" s="126" t="s">
        <v>213</v>
      </c>
      <c r="R160" s="126" t="s">
        <v>314</v>
      </c>
      <c r="S160" s="133" t="s">
        <v>223</v>
      </c>
      <c r="T160" s="133" t="s">
        <v>344</v>
      </c>
      <c r="U160" s="133" t="s">
        <v>292</v>
      </c>
      <c r="V160" s="1732" t="s">
        <v>293</v>
      </c>
      <c r="W160" s="1733"/>
      <c r="X160" s="133" t="s">
        <v>346</v>
      </c>
      <c r="Y160" s="133" t="s">
        <v>294</v>
      </c>
      <c r="Z160" s="133" t="s">
        <v>347</v>
      </c>
      <c r="AA160" s="133" t="s">
        <v>297</v>
      </c>
      <c r="AB160" s="133" t="s">
        <v>298</v>
      </c>
      <c r="AC160" s="133" t="s">
        <v>296</v>
      </c>
      <c r="AD160" s="133" t="s">
        <v>369</v>
      </c>
      <c r="AE160" s="133" t="s">
        <v>299</v>
      </c>
      <c r="AF160" s="133" t="s">
        <v>300</v>
      </c>
      <c r="AG160" s="138" t="s">
        <v>301</v>
      </c>
      <c r="AH160" s="138" t="s">
        <v>302</v>
      </c>
    </row>
    <row r="161" spans="1:34" s="277" customFormat="1">
      <c r="B161" s="128" t="s">
        <v>198</v>
      </c>
      <c r="C161" s="128"/>
      <c r="D161" s="128"/>
      <c r="E161" s="128"/>
      <c r="F161" s="1734"/>
      <c r="G161" s="1735"/>
      <c r="H161" s="128" t="s">
        <v>303</v>
      </c>
      <c r="I161" s="128"/>
      <c r="J161" s="128" t="s">
        <v>304</v>
      </c>
      <c r="K161" s="128" t="s">
        <v>305</v>
      </c>
      <c r="L161" s="128"/>
      <c r="M161" s="128"/>
      <c r="N161" s="128"/>
      <c r="O161" s="128"/>
      <c r="P161" s="128" t="s">
        <v>306</v>
      </c>
      <c r="Q161" s="128" t="s">
        <v>204</v>
      </c>
      <c r="R161" s="126" t="s">
        <v>434</v>
      </c>
      <c r="S161" s="133"/>
      <c r="T161" s="132"/>
      <c r="U161" s="132"/>
      <c r="V161" s="1736"/>
      <c r="W161" s="1737"/>
      <c r="X161" s="132"/>
      <c r="Y161" s="132"/>
      <c r="Z161" s="132"/>
      <c r="AA161" s="132" t="s">
        <v>305</v>
      </c>
      <c r="AB161" s="132"/>
      <c r="AC161" s="132"/>
      <c r="AD161" s="132" t="s">
        <v>306</v>
      </c>
      <c r="AE161" s="132" t="s">
        <v>204</v>
      </c>
      <c r="AF161" s="133" t="s">
        <v>206</v>
      </c>
      <c r="AG161" s="135" t="s">
        <v>204</v>
      </c>
      <c r="AH161" s="138" t="s">
        <v>206</v>
      </c>
    </row>
    <row r="162" spans="1:34" s="277" customFormat="1">
      <c r="B162" s="805" t="s">
        <v>255</v>
      </c>
      <c r="C162" s="799" t="s">
        <v>307</v>
      </c>
      <c r="D162" s="825">
        <v>2</v>
      </c>
      <c r="E162" s="826" t="s">
        <v>308</v>
      </c>
      <c r="F162" s="1738" t="s">
        <v>1196</v>
      </c>
      <c r="G162" s="1739"/>
      <c r="H162" s="826">
        <v>7.5</v>
      </c>
      <c r="I162" s="826" t="s">
        <v>309</v>
      </c>
      <c r="J162" s="827">
        <v>0.88700000000000001</v>
      </c>
      <c r="K162" s="828">
        <v>8.4554678692220975</v>
      </c>
      <c r="L162" s="815">
        <v>0.8</v>
      </c>
      <c r="M162" s="829" t="s">
        <v>310</v>
      </c>
      <c r="N162" s="830">
        <v>8</v>
      </c>
      <c r="O162" s="830">
        <v>320</v>
      </c>
      <c r="P162" s="831">
        <v>2560</v>
      </c>
      <c r="Q162" s="832">
        <v>34633.596392333711</v>
      </c>
      <c r="R162" s="833" t="s">
        <v>1125</v>
      </c>
      <c r="S162" s="813" t="s">
        <v>311</v>
      </c>
      <c r="T162" s="825">
        <v>2</v>
      </c>
      <c r="U162" s="826" t="s">
        <v>312</v>
      </c>
      <c r="V162" s="1740" t="s">
        <v>1197</v>
      </c>
      <c r="W162" s="1741"/>
      <c r="X162" s="822">
        <v>7.5</v>
      </c>
      <c r="Y162" s="826" t="s">
        <v>309</v>
      </c>
      <c r="Z162" s="827">
        <v>0.90400000000000003</v>
      </c>
      <c r="AA162" s="828">
        <v>8.2964601769911503</v>
      </c>
      <c r="AB162" s="817">
        <v>0.8</v>
      </c>
      <c r="AC162" s="829" t="s">
        <v>313</v>
      </c>
      <c r="AD162" s="831">
        <v>2560</v>
      </c>
      <c r="AE162" s="806">
        <v>27185.840707964606</v>
      </c>
      <c r="AF162" s="834">
        <v>11689.911504424781</v>
      </c>
      <c r="AG162" s="835">
        <v>7447.7556843691054</v>
      </c>
      <c r="AH162" s="821">
        <v>3202</v>
      </c>
    </row>
    <row r="163" spans="1:34" s="277" customFormat="1"/>
    <row r="164" spans="1:34" s="277" customFormat="1"/>
    <row r="165" spans="1:34" s="277" customFormat="1"/>
    <row r="166" spans="1:34" s="277" customFormat="1"/>
    <row r="167" spans="1:34" s="277" customFormat="1"/>
    <row r="168" spans="1:34" s="277" customFormat="1"/>
    <row r="169" spans="1:34" s="277" customFormat="1"/>
    <row r="170" spans="1:34" s="277" customFormat="1"/>
    <row r="171" spans="1:34" s="277" customFormat="1"/>
    <row r="172" spans="1:34" s="277" customFormat="1"/>
    <row r="173" spans="1:34" s="279" customFormat="1"/>
    <row r="174" spans="1:34" s="279" customFormat="1" ht="23.5">
      <c r="A174" s="280" t="s">
        <v>1135</v>
      </c>
    </row>
    <row r="175" spans="1:34" s="279" customFormat="1"/>
    <row r="176" spans="1:34" s="279" customFormat="1"/>
    <row r="177" spans="2:22" s="279" customFormat="1"/>
    <row r="178" spans="2:22" s="279" customFormat="1"/>
    <row r="179" spans="2:22" s="279" customFormat="1"/>
    <row r="180" spans="2:22" s="279" customFormat="1"/>
    <row r="181" spans="2:22" s="279" customFormat="1"/>
    <row r="182" spans="2:22" s="279" customFormat="1"/>
    <row r="183" spans="2:22" s="279" customFormat="1"/>
    <row r="184" spans="2:22" s="279" customFormat="1"/>
    <row r="185" spans="2:22" s="279" customFormat="1"/>
    <row r="186" spans="2:22" s="279" customFormat="1">
      <c r="B186" s="1725" t="s">
        <v>197</v>
      </c>
      <c r="C186" s="139" t="s">
        <v>199</v>
      </c>
      <c r="D186" s="140"/>
      <c r="E186" s="140"/>
      <c r="F186" s="140"/>
      <c r="G186" s="140"/>
      <c r="H186" s="140"/>
      <c r="I186" s="140"/>
      <c r="J186" s="140"/>
      <c r="K186" s="142"/>
      <c r="L186" s="151" t="s">
        <v>200</v>
      </c>
      <c r="M186" s="152"/>
      <c r="N186" s="152"/>
      <c r="O186" s="152"/>
      <c r="P186" s="152"/>
      <c r="Q186" s="152"/>
      <c r="R186" s="152"/>
      <c r="S186" s="152"/>
      <c r="T186" s="153"/>
      <c r="U186" s="158" t="s">
        <v>210</v>
      </c>
      <c r="V186" s="158"/>
    </row>
    <row r="187" spans="2:22" s="279" customFormat="1" ht="25.5" customHeight="1">
      <c r="B187" s="1726"/>
      <c r="C187" s="125" t="s">
        <v>389</v>
      </c>
      <c r="D187" s="125" t="s">
        <v>390</v>
      </c>
      <c r="E187" s="125" t="s">
        <v>435</v>
      </c>
      <c r="F187" s="125" t="s">
        <v>391</v>
      </c>
      <c r="G187" s="125" t="s">
        <v>433</v>
      </c>
      <c r="H187" s="125" t="s">
        <v>341</v>
      </c>
      <c r="I187" s="125" t="s">
        <v>393</v>
      </c>
      <c r="J187" s="125" t="s">
        <v>394</v>
      </c>
      <c r="K187" s="125" t="s">
        <v>205</v>
      </c>
      <c r="L187" s="131" t="s">
        <v>389</v>
      </c>
      <c r="M187" s="131" t="s">
        <v>390</v>
      </c>
      <c r="N187" s="131" t="s">
        <v>435</v>
      </c>
      <c r="O187" s="131" t="s">
        <v>391</v>
      </c>
      <c r="P187" s="131" t="s">
        <v>392</v>
      </c>
      <c r="Q187" s="131" t="s">
        <v>341</v>
      </c>
      <c r="R187" s="131" t="s">
        <v>393</v>
      </c>
      <c r="S187" s="131" t="s">
        <v>394</v>
      </c>
      <c r="T187" s="131" t="s">
        <v>218</v>
      </c>
      <c r="U187" s="120" t="s">
        <v>395</v>
      </c>
      <c r="V187" s="120" t="s">
        <v>396</v>
      </c>
    </row>
    <row r="188" spans="2:22" s="279" customFormat="1" ht="25.5" customHeight="1">
      <c r="B188" s="127" t="s">
        <v>198</v>
      </c>
      <c r="C188" s="127"/>
      <c r="D188" s="127" t="s">
        <v>397</v>
      </c>
      <c r="E188" s="127"/>
      <c r="F188" s="128" t="s">
        <v>398</v>
      </c>
      <c r="G188" s="128" t="s">
        <v>398</v>
      </c>
      <c r="H188" s="128" t="s">
        <v>304</v>
      </c>
      <c r="I188" s="128" t="s">
        <v>252</v>
      </c>
      <c r="J188" s="128" t="s">
        <v>204</v>
      </c>
      <c r="K188" s="126" t="s">
        <v>434</v>
      </c>
      <c r="L188" s="133"/>
      <c r="M188" s="154" t="s">
        <v>397</v>
      </c>
      <c r="N188" s="154"/>
      <c r="O188" s="132" t="s">
        <v>398</v>
      </c>
      <c r="P188" s="132" t="s">
        <v>398</v>
      </c>
      <c r="Q188" s="132" t="s">
        <v>304</v>
      </c>
      <c r="R188" s="132" t="s">
        <v>252</v>
      </c>
      <c r="S188" s="132" t="s">
        <v>204</v>
      </c>
      <c r="T188" s="133" t="s">
        <v>434</v>
      </c>
      <c r="U188" s="135" t="s">
        <v>204</v>
      </c>
      <c r="V188" s="138" t="s">
        <v>206</v>
      </c>
    </row>
    <row r="189" spans="2:22" s="279" customFormat="1" ht="26">
      <c r="B189" s="836" t="s">
        <v>255</v>
      </c>
      <c r="C189" s="830" t="s">
        <v>399</v>
      </c>
      <c r="D189" s="837">
        <v>500</v>
      </c>
      <c r="E189" s="830" t="s">
        <v>400</v>
      </c>
      <c r="F189" s="837">
        <v>379</v>
      </c>
      <c r="G189" s="837">
        <v>1901</v>
      </c>
      <c r="H189" s="838">
        <v>0.4</v>
      </c>
      <c r="I189" s="837">
        <v>8760</v>
      </c>
      <c r="J189" s="839">
        <v>5984.481600000001</v>
      </c>
      <c r="K189" s="818">
        <v>2573.3270880000005</v>
      </c>
      <c r="L189" s="830" t="s">
        <v>401</v>
      </c>
      <c r="M189" s="837">
        <v>100</v>
      </c>
      <c r="N189" s="830" t="s">
        <v>400</v>
      </c>
      <c r="O189" s="837">
        <v>150</v>
      </c>
      <c r="P189" s="837">
        <v>1380</v>
      </c>
      <c r="Q189" s="840">
        <v>0.4</v>
      </c>
      <c r="R189" s="841">
        <v>8760</v>
      </c>
      <c r="S189" s="839">
        <v>3248.2080000000005</v>
      </c>
      <c r="T189" s="818">
        <v>1396.7294400000003</v>
      </c>
      <c r="U189" s="842">
        <v>2736.2736000000004</v>
      </c>
      <c r="V189" s="818">
        <v>1176.5976480000002</v>
      </c>
    </row>
    <row r="190" spans="2:22" s="279" customFormat="1"/>
    <row r="191" spans="2:22" s="279" customFormat="1"/>
    <row r="192" spans="2:22" s="279" customFormat="1"/>
    <row r="193" spans="1:1" s="279" customFormat="1"/>
    <row r="194" spans="1:1" s="279" customFormat="1"/>
    <row r="195" spans="1:1" s="279" customFormat="1"/>
    <row r="196" spans="1:1" s="279" customFormat="1"/>
    <row r="197" spans="1:1" s="279" customFormat="1"/>
    <row r="198" spans="1:1" s="281" customFormat="1"/>
    <row r="199" spans="1:1" s="281" customFormat="1" ht="23.5">
      <c r="A199" s="282" t="s">
        <v>1136</v>
      </c>
    </row>
    <row r="200" spans="1:1" s="281" customFormat="1"/>
    <row r="201" spans="1:1" s="281" customFormat="1"/>
    <row r="202" spans="1:1" s="281" customFormat="1"/>
    <row r="203" spans="1:1" s="281" customFormat="1"/>
    <row r="204" spans="1:1" s="281" customFormat="1"/>
    <row r="205" spans="1:1" s="281" customFormat="1"/>
    <row r="206" spans="1:1" s="281" customFormat="1"/>
    <row r="207" spans="1:1" s="281" customFormat="1"/>
    <row r="208" spans="1:1" s="281" customFormat="1"/>
    <row r="209" spans="1:20" s="281" customFormat="1"/>
    <row r="210" spans="1:20" s="281" customFormat="1"/>
    <row r="211" spans="1:20" s="281" customFormat="1">
      <c r="B211" s="1725" t="s">
        <v>197</v>
      </c>
      <c r="C211" s="123" t="s">
        <v>199</v>
      </c>
      <c r="D211" s="124"/>
      <c r="E211" s="124"/>
      <c r="F211" s="124"/>
      <c r="G211" s="124"/>
      <c r="H211" s="124"/>
      <c r="I211" s="124"/>
      <c r="J211" s="124"/>
      <c r="K211" s="124"/>
      <c r="L211" s="129" t="s">
        <v>200</v>
      </c>
      <c r="M211" s="130"/>
      <c r="N211" s="130"/>
      <c r="O211" s="130"/>
      <c r="P211" s="130"/>
      <c r="Q211" s="130"/>
      <c r="R211" s="130"/>
      <c r="S211" s="158" t="s">
        <v>210</v>
      </c>
      <c r="T211" s="159"/>
    </row>
    <row r="212" spans="1:20" s="281" customFormat="1" ht="65">
      <c r="B212" s="1726"/>
      <c r="C212" s="125" t="s">
        <v>223</v>
      </c>
      <c r="D212" s="126" t="s">
        <v>211</v>
      </c>
      <c r="E212" s="789" t="s">
        <v>93</v>
      </c>
      <c r="F212" s="789" t="s">
        <v>94</v>
      </c>
      <c r="G212" s="125" t="s">
        <v>225</v>
      </c>
      <c r="H212" s="125" t="s">
        <v>226</v>
      </c>
      <c r="I212" s="125" t="s">
        <v>212</v>
      </c>
      <c r="J212" s="125" t="s">
        <v>213</v>
      </c>
      <c r="K212" s="125" t="s">
        <v>214</v>
      </c>
      <c r="L212" s="131" t="s">
        <v>223</v>
      </c>
      <c r="M212" s="131" t="s">
        <v>215</v>
      </c>
      <c r="N212" s="131" t="s">
        <v>225</v>
      </c>
      <c r="O212" s="131" t="s">
        <v>226</v>
      </c>
      <c r="P212" s="131" t="s">
        <v>216</v>
      </c>
      <c r="Q212" s="131" t="s">
        <v>217</v>
      </c>
      <c r="R212" s="131" t="s">
        <v>218</v>
      </c>
      <c r="S212" s="120" t="s">
        <v>227</v>
      </c>
      <c r="T212" s="120" t="s">
        <v>228</v>
      </c>
    </row>
    <row r="213" spans="1:20" s="281" customFormat="1">
      <c r="B213" s="127" t="s">
        <v>198</v>
      </c>
      <c r="C213" s="793" t="s">
        <v>45</v>
      </c>
      <c r="D213" s="793" t="s">
        <v>45</v>
      </c>
      <c r="E213" s="128" t="s">
        <v>219</v>
      </c>
      <c r="F213" s="793" t="s">
        <v>45</v>
      </c>
      <c r="G213" s="128" t="s">
        <v>220</v>
      </c>
      <c r="H213" s="128" t="s">
        <v>220</v>
      </c>
      <c r="I213" s="128" t="s">
        <v>221</v>
      </c>
      <c r="J213" s="128" t="s">
        <v>204</v>
      </c>
      <c r="K213" s="126" t="s">
        <v>206</v>
      </c>
      <c r="L213" s="87" t="s">
        <v>45</v>
      </c>
      <c r="M213" s="132" t="s">
        <v>219</v>
      </c>
      <c r="N213" s="133" t="s">
        <v>220</v>
      </c>
      <c r="O213" s="133" t="s">
        <v>220</v>
      </c>
      <c r="P213" s="132" t="s">
        <v>221</v>
      </c>
      <c r="Q213" s="132" t="s">
        <v>204</v>
      </c>
      <c r="R213" s="133" t="s">
        <v>206</v>
      </c>
      <c r="S213" s="135" t="s">
        <v>204</v>
      </c>
      <c r="T213" s="138" t="s">
        <v>206</v>
      </c>
    </row>
    <row r="214" spans="1:20" s="281" customFormat="1">
      <c r="B214" s="596" t="s">
        <v>77</v>
      </c>
      <c r="C214" s="803" t="s">
        <v>229</v>
      </c>
      <c r="D214" s="804">
        <v>2012</v>
      </c>
      <c r="E214" s="804">
        <v>1</v>
      </c>
      <c r="F214" s="843">
        <v>1.5</v>
      </c>
      <c r="G214" s="803">
        <v>180</v>
      </c>
      <c r="H214" s="803">
        <v>600</v>
      </c>
      <c r="I214" s="844">
        <v>360</v>
      </c>
      <c r="J214" s="845">
        <v>1400</v>
      </c>
      <c r="K214" s="846">
        <v>903</v>
      </c>
      <c r="L214" s="847" t="s">
        <v>222</v>
      </c>
      <c r="M214" s="804">
        <v>1</v>
      </c>
      <c r="N214" s="799">
        <v>180</v>
      </c>
      <c r="O214" s="799">
        <v>600</v>
      </c>
      <c r="P214" s="844">
        <v>320</v>
      </c>
      <c r="Q214" s="832">
        <v>1300</v>
      </c>
      <c r="R214" s="846">
        <v>559</v>
      </c>
      <c r="S214" s="835">
        <v>800</v>
      </c>
      <c r="T214" s="848">
        <v>344</v>
      </c>
    </row>
    <row r="215" spans="1:20" s="281" customFormat="1"/>
    <row r="216" spans="1:20" s="281" customFormat="1"/>
    <row r="217" spans="1:20" s="281" customFormat="1"/>
    <row r="218" spans="1:20" s="281" customFormat="1"/>
    <row r="219" spans="1:20" s="281" customFormat="1"/>
    <row r="220" spans="1:20" s="281" customFormat="1"/>
    <row r="221" spans="1:20" s="281" customFormat="1"/>
    <row r="222" spans="1:20" s="190" customFormat="1"/>
    <row r="223" spans="1:20" s="190" customFormat="1" ht="23.5">
      <c r="A223" s="191" t="s">
        <v>1137</v>
      </c>
    </row>
    <row r="224" spans="1:20" s="190" customFormat="1" ht="18.5" thickBot="1">
      <c r="Q224" s="853" t="s">
        <v>1121</v>
      </c>
      <c r="R224" s="285"/>
      <c r="S224" s="285"/>
      <c r="T224" s="285"/>
    </row>
    <row r="225" spans="2:20" s="190" customFormat="1">
      <c r="L225" s="1722" t="s">
        <v>15</v>
      </c>
      <c r="M225" s="1722"/>
      <c r="N225" s="1722"/>
      <c r="O225" s="1031" t="s">
        <v>7</v>
      </c>
      <c r="Q225" s="854" t="s">
        <v>561</v>
      </c>
      <c r="R225" s="855" t="s">
        <v>556</v>
      </c>
      <c r="S225" s="856" t="s">
        <v>560</v>
      </c>
      <c r="T225" s="857" t="s">
        <v>7</v>
      </c>
    </row>
    <row r="226" spans="2:20" s="190" customFormat="1">
      <c r="H226" s="1727" t="s">
        <v>534</v>
      </c>
      <c r="I226" s="1727"/>
      <c r="J226" s="311">
        <v>0.8</v>
      </c>
      <c r="L226" s="1703" t="s">
        <v>540</v>
      </c>
      <c r="M226" s="1704"/>
      <c r="N226" s="610">
        <v>1490</v>
      </c>
      <c r="O226" s="1032" t="s">
        <v>123</v>
      </c>
      <c r="Q226" s="1699" t="s">
        <v>548</v>
      </c>
      <c r="R226" s="850" t="s">
        <v>1083</v>
      </c>
      <c r="S226" s="858">
        <v>15</v>
      </c>
      <c r="T226" s="859" t="s">
        <v>90</v>
      </c>
    </row>
    <row r="227" spans="2:20" s="190" customFormat="1">
      <c r="L227" s="1712" t="s">
        <v>1093</v>
      </c>
      <c r="M227" s="1713"/>
      <c r="N227" s="289">
        <v>41464.000000000007</v>
      </c>
      <c r="O227" s="1031" t="s">
        <v>123</v>
      </c>
      <c r="Q227" s="1699"/>
      <c r="R227" s="850" t="s">
        <v>557</v>
      </c>
      <c r="S227" s="858">
        <v>11.5</v>
      </c>
      <c r="T227" s="859" t="s">
        <v>90</v>
      </c>
    </row>
    <row r="228" spans="2:20" s="190" customFormat="1">
      <c r="L228" s="1703" t="s">
        <v>1091</v>
      </c>
      <c r="M228" s="1704"/>
      <c r="N228" s="610">
        <v>41464.000000000007</v>
      </c>
      <c r="O228" s="1031" t="s">
        <v>123</v>
      </c>
      <c r="Q228" s="1699"/>
      <c r="R228" s="850" t="s">
        <v>565</v>
      </c>
      <c r="S228" s="858">
        <v>11.5</v>
      </c>
      <c r="T228" s="859" t="s">
        <v>90</v>
      </c>
    </row>
    <row r="229" spans="2:20" s="190" customFormat="1">
      <c r="B229" s="1702" t="s">
        <v>197</v>
      </c>
      <c r="C229" s="291" t="s">
        <v>554</v>
      </c>
      <c r="D229" s="292"/>
      <c r="E229" s="292"/>
      <c r="F229" s="330"/>
      <c r="G229" s="330"/>
      <c r="H229" s="535"/>
      <c r="I229" s="292"/>
      <c r="J229" s="293"/>
      <c r="L229" s="1703" t="s">
        <v>1092</v>
      </c>
      <c r="M229" s="1704"/>
      <c r="N229" s="610">
        <v>0</v>
      </c>
      <c r="O229" s="1031" t="s">
        <v>123</v>
      </c>
      <c r="Q229" s="1700" t="s">
        <v>551</v>
      </c>
      <c r="R229" s="851" t="s">
        <v>557</v>
      </c>
      <c r="S229" s="860">
        <v>10</v>
      </c>
      <c r="T229" s="859" t="s">
        <v>90</v>
      </c>
    </row>
    <row r="230" spans="2:20" s="190" customFormat="1" ht="36.5" thickBot="1">
      <c r="B230" s="1702"/>
      <c r="C230" s="125" t="s">
        <v>842</v>
      </c>
      <c r="D230" s="125" t="s">
        <v>844</v>
      </c>
      <c r="E230" s="125" t="s">
        <v>515</v>
      </c>
      <c r="F230" s="792" t="s">
        <v>847</v>
      </c>
      <c r="G230" s="792" t="s">
        <v>786</v>
      </c>
      <c r="H230" s="792" t="s">
        <v>801</v>
      </c>
      <c r="I230" s="792" t="s">
        <v>1118</v>
      </c>
      <c r="J230" s="792" t="s">
        <v>533</v>
      </c>
      <c r="L230" s="1703" t="s">
        <v>799</v>
      </c>
      <c r="M230" s="1704"/>
      <c r="N230" s="560">
        <v>60</v>
      </c>
      <c r="O230" s="1031" t="s">
        <v>52</v>
      </c>
      <c r="Q230" s="1701"/>
      <c r="R230" s="852" t="s">
        <v>565</v>
      </c>
      <c r="S230" s="861">
        <v>8.9</v>
      </c>
      <c r="T230" s="862" t="s">
        <v>90</v>
      </c>
    </row>
    <row r="231" spans="2:20" s="190" customFormat="1">
      <c r="B231" s="784" t="s">
        <v>198</v>
      </c>
      <c r="C231" s="793" t="s">
        <v>45</v>
      </c>
      <c r="D231" s="793" t="s">
        <v>45</v>
      </c>
      <c r="E231" s="793" t="s">
        <v>45</v>
      </c>
      <c r="F231" s="793" t="s">
        <v>108</v>
      </c>
      <c r="G231" s="793" t="s">
        <v>108</v>
      </c>
      <c r="H231" s="793" t="s">
        <v>516</v>
      </c>
      <c r="I231" s="793" t="s">
        <v>108</v>
      </c>
      <c r="J231" s="793" t="s">
        <v>6</v>
      </c>
      <c r="L231" s="1703" t="s">
        <v>1082</v>
      </c>
      <c r="M231" s="1704"/>
      <c r="N231" s="289">
        <v>24878.400000000005</v>
      </c>
      <c r="O231" s="1031" t="s">
        <v>123</v>
      </c>
    </row>
    <row r="232" spans="2:20" s="190" customFormat="1">
      <c r="B232" s="416" t="s">
        <v>519</v>
      </c>
      <c r="C232" s="319" t="s">
        <v>1119</v>
      </c>
      <c r="D232" s="320" t="s">
        <v>1120</v>
      </c>
      <c r="E232" s="428" t="s">
        <v>548</v>
      </c>
      <c r="F232" s="321">
        <v>50</v>
      </c>
      <c r="G232" s="321">
        <v>40</v>
      </c>
      <c r="H232" s="536">
        <v>1.25</v>
      </c>
      <c r="I232" s="429">
        <v>40</v>
      </c>
      <c r="J232" s="429">
        <v>3455.3333333333339</v>
      </c>
      <c r="L232" s="1696" t="s">
        <v>541</v>
      </c>
      <c r="M232" s="1696"/>
      <c r="N232" s="289">
        <v>16585.600000000002</v>
      </c>
      <c r="O232" s="1031" t="s">
        <v>123</v>
      </c>
    </row>
    <row r="233" spans="2:20" s="190" customFormat="1">
      <c r="L233" s="1703" t="s">
        <v>1094</v>
      </c>
      <c r="M233" s="1704"/>
      <c r="N233" s="289">
        <v>16585.600000000002</v>
      </c>
      <c r="O233" s="1031" t="s">
        <v>123</v>
      </c>
    </row>
    <row r="234" spans="2:20" s="190" customFormat="1">
      <c r="L234" s="1703" t="s">
        <v>1095</v>
      </c>
      <c r="M234" s="1704"/>
      <c r="N234" s="289">
        <v>0</v>
      </c>
      <c r="O234" s="1031" t="s">
        <v>123</v>
      </c>
    </row>
    <row r="235" spans="2:20" s="190" customFormat="1">
      <c r="L235" s="1703" t="s">
        <v>556</v>
      </c>
      <c r="M235" s="1704"/>
      <c r="N235" s="171">
        <v>40</v>
      </c>
      <c r="O235" s="1031" t="s">
        <v>108</v>
      </c>
    </row>
    <row r="236" spans="2:20" s="190" customFormat="1">
      <c r="L236" s="1722" t="s">
        <v>544</v>
      </c>
      <c r="M236" s="1722"/>
      <c r="N236" s="440" t="s">
        <v>1116</v>
      </c>
      <c r="O236" s="1031" t="s">
        <v>45</v>
      </c>
    </row>
    <row r="237" spans="2:20" s="190" customFormat="1" ht="18" customHeight="1">
      <c r="L237" s="1723" t="s">
        <v>1117</v>
      </c>
      <c r="M237" s="168" t="s">
        <v>548</v>
      </c>
      <c r="N237" s="295">
        <v>11.5</v>
      </c>
      <c r="O237" s="1031" t="s">
        <v>90</v>
      </c>
    </row>
    <row r="238" spans="2:20" s="190" customFormat="1">
      <c r="L238" s="1724"/>
      <c r="M238" s="168" t="s">
        <v>551</v>
      </c>
      <c r="N238" s="295">
        <v>10</v>
      </c>
      <c r="O238" s="1031" t="s">
        <v>90</v>
      </c>
    </row>
    <row r="239" spans="2:20" s="190" customFormat="1">
      <c r="L239" s="1712" t="s">
        <v>542</v>
      </c>
      <c r="M239" s="1403" t="s">
        <v>1097</v>
      </c>
      <c r="N239" s="298">
        <v>190734.40000000002</v>
      </c>
      <c r="O239" s="1031" t="s">
        <v>88</v>
      </c>
    </row>
    <row r="240" spans="2:20" s="190" customFormat="1">
      <c r="L240" s="1720"/>
      <c r="M240" s="1403" t="s">
        <v>1096</v>
      </c>
      <c r="N240" s="298" t="s">
        <v>121</v>
      </c>
      <c r="O240" s="1031" t="s">
        <v>88</v>
      </c>
    </row>
    <row r="241" spans="1:20" s="190" customFormat="1">
      <c r="L241" s="1721"/>
      <c r="M241" s="1403" t="s">
        <v>1098</v>
      </c>
      <c r="N241" s="298">
        <v>165856.00000000003</v>
      </c>
      <c r="O241" s="1031" t="s">
        <v>88</v>
      </c>
    </row>
    <row r="242" spans="1:20" s="190" customFormat="1">
      <c r="L242" s="1703" t="s">
        <v>767</v>
      </c>
      <c r="M242" s="1704"/>
      <c r="N242" s="560">
        <v>10</v>
      </c>
      <c r="O242" s="1031" t="s">
        <v>90</v>
      </c>
    </row>
    <row r="243" spans="1:20" s="190" customFormat="1">
      <c r="L243" s="1703" t="s">
        <v>1085</v>
      </c>
      <c r="M243" s="1704"/>
      <c r="N243" s="298">
        <v>165856.00000000003</v>
      </c>
      <c r="O243" s="1031" t="s">
        <v>42</v>
      </c>
    </row>
    <row r="244" spans="1:20" s="190" customFormat="1" ht="18" customHeight="1">
      <c r="L244" s="1716" t="s">
        <v>1087</v>
      </c>
      <c r="M244" s="1716"/>
      <c r="N244" s="1693">
        <v>2520120.6979865776</v>
      </c>
      <c r="O244" s="1696" t="s">
        <v>88</v>
      </c>
    </row>
    <row r="245" spans="1:20" s="190" customFormat="1">
      <c r="L245" s="1717"/>
      <c r="M245" s="1717"/>
      <c r="N245" s="1694"/>
      <c r="O245" s="1697"/>
    </row>
    <row r="246" spans="1:20" s="190" customFormat="1">
      <c r="L246" s="1718"/>
      <c r="M246" s="1718"/>
      <c r="N246" s="1695"/>
      <c r="O246" s="1698"/>
    </row>
    <row r="247" spans="1:20" s="190" customFormat="1"/>
    <row r="248" spans="1:20" s="190" customFormat="1"/>
    <row r="249" spans="1:20" s="306" customFormat="1"/>
    <row r="250" spans="1:20" s="306" customFormat="1" ht="23.5">
      <c r="A250" s="849" t="s">
        <v>1138</v>
      </c>
    </row>
    <row r="251" spans="1:20" s="306" customFormat="1">
      <c r="Q251" s="310" t="s">
        <v>877</v>
      </c>
      <c r="R251" s="310"/>
      <c r="S251" s="310"/>
      <c r="T251" s="310"/>
    </row>
    <row r="252" spans="1:20" s="306" customFormat="1">
      <c r="I252" s="555" t="s">
        <v>869</v>
      </c>
      <c r="J252" s="288">
        <v>0.7</v>
      </c>
      <c r="L252" s="1703" t="s">
        <v>15</v>
      </c>
      <c r="M252" s="1719"/>
      <c r="N252" s="1704"/>
      <c r="O252" s="783" t="s">
        <v>7</v>
      </c>
      <c r="Q252" s="294" t="s">
        <v>573</v>
      </c>
      <c r="R252" s="294" t="s">
        <v>575</v>
      </c>
      <c r="S252" s="294" t="s">
        <v>560</v>
      </c>
      <c r="T252" s="294" t="s">
        <v>7</v>
      </c>
    </row>
    <row r="253" spans="1:20" s="306" customFormat="1">
      <c r="I253" s="555" t="s">
        <v>868</v>
      </c>
      <c r="J253" s="311">
        <v>0.8</v>
      </c>
      <c r="L253" s="1703" t="s">
        <v>540</v>
      </c>
      <c r="M253" s="1704"/>
      <c r="N253" s="610">
        <v>1490</v>
      </c>
      <c r="O253" s="785" t="s">
        <v>123</v>
      </c>
      <c r="Q253" s="296" t="s">
        <v>574</v>
      </c>
      <c r="R253" s="863" t="s">
        <v>576</v>
      </c>
      <c r="S253" s="300">
        <v>34</v>
      </c>
      <c r="T253" s="297" t="s">
        <v>90</v>
      </c>
    </row>
    <row r="254" spans="1:20" s="306" customFormat="1">
      <c r="L254" s="1712" t="s">
        <v>1093</v>
      </c>
      <c r="M254" s="1713"/>
      <c r="N254" s="289">
        <v>2403.7440000000006</v>
      </c>
      <c r="O254" s="1031" t="s">
        <v>123</v>
      </c>
      <c r="Q254" s="315"/>
      <c r="R254" s="863" t="s">
        <v>579</v>
      </c>
      <c r="S254" s="300">
        <v>29</v>
      </c>
      <c r="T254" s="297" t="s">
        <v>90</v>
      </c>
    </row>
    <row r="255" spans="1:20" s="306" customFormat="1">
      <c r="L255" s="1714" t="s">
        <v>1100</v>
      </c>
      <c r="M255" s="1715"/>
      <c r="N255" s="610">
        <v>1201.8720000000003</v>
      </c>
      <c r="O255" s="1032" t="s">
        <v>123</v>
      </c>
      <c r="Q255" s="315"/>
      <c r="R255" s="863" t="s">
        <v>580</v>
      </c>
      <c r="S255" s="300">
        <v>23</v>
      </c>
      <c r="T255" s="297" t="s">
        <v>90</v>
      </c>
    </row>
    <row r="256" spans="1:20" s="306" customFormat="1" ht="31" customHeight="1">
      <c r="B256" s="1702" t="s">
        <v>197</v>
      </c>
      <c r="C256" s="291" t="s">
        <v>554</v>
      </c>
      <c r="D256" s="292"/>
      <c r="E256" s="292"/>
      <c r="F256" s="292"/>
      <c r="G256" s="292"/>
      <c r="H256" s="292"/>
      <c r="I256" s="292"/>
      <c r="J256" s="293"/>
      <c r="L256" s="1710" t="s">
        <v>1101</v>
      </c>
      <c r="M256" s="1711"/>
      <c r="N256" s="610">
        <v>1201.8720000000003</v>
      </c>
      <c r="O256" s="1032" t="s">
        <v>123</v>
      </c>
      <c r="Q256" s="315"/>
      <c r="R256" s="863" t="s">
        <v>581</v>
      </c>
      <c r="S256" s="300">
        <v>16</v>
      </c>
      <c r="T256" s="297" t="s">
        <v>90</v>
      </c>
    </row>
    <row r="257" spans="2:20" s="306" customFormat="1" ht="24">
      <c r="B257" s="1702"/>
      <c r="C257" s="784" t="s">
        <v>131</v>
      </c>
      <c r="D257" s="125" t="s">
        <v>514</v>
      </c>
      <c r="E257" s="125" t="s">
        <v>585</v>
      </c>
      <c r="F257" s="125" t="s">
        <v>867</v>
      </c>
      <c r="G257" s="312" t="s">
        <v>866</v>
      </c>
      <c r="H257" s="312" t="s">
        <v>865</v>
      </c>
      <c r="I257" s="312" t="s">
        <v>864</v>
      </c>
      <c r="J257" s="313" t="s">
        <v>569</v>
      </c>
      <c r="L257" s="1703" t="s">
        <v>543</v>
      </c>
      <c r="M257" s="1704"/>
      <c r="N257" s="299">
        <v>60</v>
      </c>
      <c r="O257" s="1031" t="s">
        <v>52</v>
      </c>
      <c r="Q257" s="296" t="s">
        <v>577</v>
      </c>
      <c r="R257" s="863" t="s">
        <v>576</v>
      </c>
      <c r="S257" s="560">
        <v>25</v>
      </c>
      <c r="T257" s="297" t="s">
        <v>90</v>
      </c>
    </row>
    <row r="258" spans="2:20" s="306" customFormat="1">
      <c r="B258" s="784" t="s">
        <v>198</v>
      </c>
      <c r="C258" s="793" t="s">
        <v>45</v>
      </c>
      <c r="D258" s="793" t="s">
        <v>45</v>
      </c>
      <c r="E258" s="793" t="s">
        <v>45</v>
      </c>
      <c r="F258" s="793" t="s">
        <v>48</v>
      </c>
      <c r="G258" s="316" t="s">
        <v>567</v>
      </c>
      <c r="H258" s="316" t="s">
        <v>568</v>
      </c>
      <c r="I258" s="316" t="s">
        <v>108</v>
      </c>
      <c r="J258" s="317" t="s">
        <v>558</v>
      </c>
      <c r="L258" s="1703" t="s">
        <v>1086</v>
      </c>
      <c r="M258" s="1704"/>
      <c r="N258" s="289">
        <v>1442.2464000000004</v>
      </c>
      <c r="O258" s="1031" t="s">
        <v>123</v>
      </c>
      <c r="Q258" s="315" t="s">
        <v>578</v>
      </c>
      <c r="R258" s="863" t="s">
        <v>579</v>
      </c>
      <c r="S258" s="300">
        <v>21</v>
      </c>
      <c r="T258" s="297" t="s">
        <v>90</v>
      </c>
    </row>
    <row r="259" spans="2:20" s="306" customFormat="1" ht="24">
      <c r="B259" s="416" t="s">
        <v>519</v>
      </c>
      <c r="C259" s="319" t="s">
        <v>571</v>
      </c>
      <c r="D259" s="320" t="s">
        <v>572</v>
      </c>
      <c r="E259" s="886" t="s">
        <v>582</v>
      </c>
      <c r="F259" s="319">
        <v>1</v>
      </c>
      <c r="G259" s="319">
        <v>3</v>
      </c>
      <c r="H259" s="321">
        <v>0.1</v>
      </c>
      <c r="I259" s="322">
        <v>2.0580000000000003</v>
      </c>
      <c r="J259" s="323">
        <v>50.07800000000001</v>
      </c>
      <c r="L259" s="1712" t="s">
        <v>1099</v>
      </c>
      <c r="M259" s="1713"/>
      <c r="N259" s="289">
        <v>961.49760000000015</v>
      </c>
      <c r="O259" s="1031" t="s">
        <v>123</v>
      </c>
      <c r="Q259" s="324"/>
      <c r="R259" s="863" t="s">
        <v>580</v>
      </c>
      <c r="S259" s="300">
        <v>14</v>
      </c>
      <c r="T259" s="297" t="s">
        <v>90</v>
      </c>
    </row>
    <row r="260" spans="2:20" s="306" customFormat="1">
      <c r="L260" s="1714" t="s">
        <v>1102</v>
      </c>
      <c r="M260" s="1715"/>
      <c r="N260" s="289">
        <v>480.74880000000007</v>
      </c>
      <c r="O260" s="1032" t="s">
        <v>123</v>
      </c>
      <c r="Q260" s="325"/>
      <c r="R260" s="863" t="s">
        <v>581</v>
      </c>
      <c r="S260" s="300">
        <v>9</v>
      </c>
      <c r="T260" s="297" t="s">
        <v>90</v>
      </c>
    </row>
    <row r="261" spans="2:20" s="306" customFormat="1" ht="31" customHeight="1">
      <c r="L261" s="1710" t="s">
        <v>1103</v>
      </c>
      <c r="M261" s="1711"/>
      <c r="N261" s="289">
        <v>480.74880000000007</v>
      </c>
      <c r="O261" s="1032" t="s">
        <v>123</v>
      </c>
    </row>
    <row r="262" spans="2:20" s="306" customFormat="1">
      <c r="L262" s="1703" t="s">
        <v>544</v>
      </c>
      <c r="M262" s="1704"/>
      <c r="N262" s="440" t="s">
        <v>1116</v>
      </c>
      <c r="O262" s="1031" t="s">
        <v>45</v>
      </c>
    </row>
    <row r="263" spans="2:20" s="306" customFormat="1">
      <c r="L263" s="1705" t="s">
        <v>584</v>
      </c>
      <c r="M263" s="168" t="s">
        <v>574</v>
      </c>
      <c r="N263" s="297">
        <v>29</v>
      </c>
      <c r="O263" s="1031" t="s">
        <v>90</v>
      </c>
    </row>
    <row r="264" spans="2:20" s="306" customFormat="1" ht="24">
      <c r="L264" s="1706"/>
      <c r="M264" s="318" t="s">
        <v>583</v>
      </c>
      <c r="N264" s="297">
        <v>21</v>
      </c>
      <c r="O264" s="783" t="s">
        <v>90</v>
      </c>
    </row>
    <row r="265" spans="2:20" s="306" customFormat="1">
      <c r="L265" s="1696" t="s">
        <v>542</v>
      </c>
      <c r="M265" s="168" t="s">
        <v>574</v>
      </c>
      <c r="N265" s="298">
        <v>13941.715200000002</v>
      </c>
      <c r="O265" s="783" t="s">
        <v>88</v>
      </c>
    </row>
    <row r="266" spans="2:20" s="306" customFormat="1" ht="24">
      <c r="L266" s="1698"/>
      <c r="M266" s="318" t="s">
        <v>583</v>
      </c>
      <c r="N266" s="298">
        <v>10095.724800000002</v>
      </c>
      <c r="O266" s="783" t="s">
        <v>88</v>
      </c>
    </row>
    <row r="267" spans="2:20" s="306" customFormat="1">
      <c r="L267" s="1703" t="s">
        <v>767</v>
      </c>
      <c r="M267" s="1704"/>
      <c r="N267" s="560">
        <v>10</v>
      </c>
      <c r="O267" s="783" t="s">
        <v>90</v>
      </c>
    </row>
    <row r="268" spans="2:20" s="306" customFormat="1">
      <c r="L268" s="1703" t="s">
        <v>769</v>
      </c>
      <c r="M268" s="1704"/>
      <c r="N268" s="298">
        <v>9614.9760000000024</v>
      </c>
      <c r="O268" s="783" t="s">
        <v>42</v>
      </c>
    </row>
    <row r="269" spans="2:20" s="306" customFormat="1">
      <c r="L269" s="1707" t="s">
        <v>1087</v>
      </c>
      <c r="M269" s="1707"/>
      <c r="N269" s="1693">
        <v>160518.47516778528</v>
      </c>
      <c r="O269" s="1696" t="s">
        <v>88</v>
      </c>
    </row>
    <row r="270" spans="2:20" s="306" customFormat="1">
      <c r="L270" s="1708"/>
      <c r="M270" s="1708"/>
      <c r="N270" s="1694"/>
      <c r="O270" s="1697"/>
    </row>
    <row r="271" spans="2:20" s="306" customFormat="1">
      <c r="L271" s="1709"/>
      <c r="M271" s="1709"/>
      <c r="N271" s="1695"/>
      <c r="O271" s="1698"/>
    </row>
    <row r="272" spans="2:20" s="306" customFormat="1"/>
    <row r="273" spans="1:10" s="306" customFormat="1"/>
    <row r="274" spans="1:10" s="623" customFormat="1">
      <c r="A274" s="622"/>
    </row>
    <row r="275" spans="1:10" s="623" customFormat="1" ht="23.5">
      <c r="A275" s="624" t="s">
        <v>1139</v>
      </c>
    </row>
    <row r="276" spans="1:10" s="623" customFormat="1">
      <c r="A276" s="622"/>
    </row>
    <row r="277" spans="1:10" s="623" customFormat="1">
      <c r="A277" s="622"/>
    </row>
    <row r="278" spans="1:10" s="623" customFormat="1">
      <c r="A278" s="622"/>
    </row>
    <row r="279" spans="1:10" s="623" customFormat="1">
      <c r="A279" s="622"/>
    </row>
    <row r="280" spans="1:10" s="623" customFormat="1">
      <c r="A280" s="622"/>
    </row>
    <row r="281" spans="1:10" s="623" customFormat="1">
      <c r="A281" s="622"/>
      <c r="B281" s="1702" t="s">
        <v>197</v>
      </c>
      <c r="C281" s="341" t="s">
        <v>54</v>
      </c>
      <c r="D281" s="398"/>
      <c r="E281" s="330"/>
      <c r="F281" s="330"/>
      <c r="G281" s="330"/>
      <c r="H281" s="330"/>
      <c r="I281" s="399" t="s">
        <v>58</v>
      </c>
      <c r="J281" s="400"/>
    </row>
    <row r="282" spans="1:10" s="623" customFormat="1" ht="46" customHeight="1">
      <c r="A282" s="622"/>
      <c r="B282" s="1702"/>
      <c r="C282" s="784" t="s">
        <v>131</v>
      </c>
      <c r="D282" s="125" t="s">
        <v>514</v>
      </c>
      <c r="E282" s="792" t="s">
        <v>850</v>
      </c>
      <c r="F282" s="607" t="s">
        <v>860</v>
      </c>
      <c r="G282" s="792" t="s">
        <v>851</v>
      </c>
      <c r="H282" s="312" t="s">
        <v>853</v>
      </c>
      <c r="I282" s="88" t="s">
        <v>1090</v>
      </c>
      <c r="J282" s="88" t="s">
        <v>517</v>
      </c>
    </row>
    <row r="283" spans="1:10" s="623" customFormat="1">
      <c r="A283" s="622"/>
      <c r="B283" s="784" t="s">
        <v>198</v>
      </c>
      <c r="C283" s="793" t="s">
        <v>45</v>
      </c>
      <c r="D283" s="793" t="s">
        <v>45</v>
      </c>
      <c r="E283" s="793" t="s">
        <v>6</v>
      </c>
      <c r="F283" s="793" t="s">
        <v>516</v>
      </c>
      <c r="G283" s="793" t="s">
        <v>852</v>
      </c>
      <c r="H283" s="316" t="s">
        <v>854</v>
      </c>
      <c r="I283" s="783" t="s">
        <v>123</v>
      </c>
      <c r="J283" s="783" t="s">
        <v>518</v>
      </c>
    </row>
    <row r="284" spans="1:10" s="623" customFormat="1">
      <c r="A284" s="622"/>
      <c r="B284" s="416" t="s">
        <v>519</v>
      </c>
      <c r="C284" s="319" t="s">
        <v>136</v>
      </c>
      <c r="D284" s="319" t="s">
        <v>1122</v>
      </c>
      <c r="E284" s="319">
        <v>100</v>
      </c>
      <c r="F284" s="319">
        <v>60</v>
      </c>
      <c r="G284" s="319">
        <v>80</v>
      </c>
      <c r="H284" s="319">
        <v>180</v>
      </c>
      <c r="I284" s="417">
        <v>8640</v>
      </c>
      <c r="J284" s="416">
        <v>3715.2</v>
      </c>
    </row>
    <row r="285" spans="1:10" s="623" customFormat="1">
      <c r="A285" s="622"/>
    </row>
    <row r="286" spans="1:10" s="623" customFormat="1">
      <c r="A286" s="622"/>
    </row>
    <row r="287" spans="1:10" s="625" customFormat="1"/>
    <row r="288" spans="1:10" s="625" customFormat="1" ht="23.5">
      <c r="A288" s="626" t="s">
        <v>1140</v>
      </c>
    </row>
    <row r="289" spans="2:35" s="625" customFormat="1"/>
    <row r="290" spans="2:35" s="625" customFormat="1"/>
    <row r="291" spans="2:35" s="625" customFormat="1"/>
    <row r="292" spans="2:35" s="625" customFormat="1" ht="18.5" thickBot="1"/>
    <row r="293" spans="2:35" s="625" customFormat="1" ht="18.5" thickBot="1">
      <c r="N293" s="1691" t="s">
        <v>663</v>
      </c>
      <c r="O293" s="1692"/>
      <c r="P293" s="629"/>
      <c r="Q293" s="628"/>
      <c r="R293" s="628"/>
      <c r="S293" s="628"/>
      <c r="T293" s="628"/>
      <c r="U293" s="628"/>
      <c r="V293" s="627"/>
      <c r="W293" s="627"/>
      <c r="X293" s="627"/>
      <c r="Y293" s="627"/>
      <c r="Z293" s="627"/>
      <c r="AA293" s="627"/>
      <c r="AB293" s="627"/>
      <c r="AC293" s="627"/>
      <c r="AD293" s="627"/>
      <c r="AE293" s="864"/>
      <c r="AF293" s="627"/>
      <c r="AG293" s="627"/>
      <c r="AH293" s="627"/>
      <c r="AI293" s="627"/>
    </row>
    <row r="294" spans="2:35" s="625" customFormat="1">
      <c r="N294" s="424" t="s">
        <v>237</v>
      </c>
      <c r="O294" s="791" t="s">
        <v>651</v>
      </c>
      <c r="P294" s="628"/>
      <c r="Q294" s="628"/>
      <c r="R294" s="628"/>
      <c r="S294" s="628"/>
      <c r="T294" s="628"/>
      <c r="U294" s="628"/>
      <c r="V294" s="627"/>
      <c r="W294" s="627"/>
      <c r="X294" s="627"/>
      <c r="Y294" s="627"/>
      <c r="Z294" s="627"/>
      <c r="AA294" s="627"/>
      <c r="AB294" s="627"/>
      <c r="AC294" s="627"/>
      <c r="AD294" s="627"/>
      <c r="AE294" s="627"/>
      <c r="AF294" s="627"/>
      <c r="AG294" s="627"/>
      <c r="AH294" s="627"/>
      <c r="AI294" s="627"/>
    </row>
    <row r="295" spans="2:35" s="625" customFormat="1" ht="18.5" thickBot="1">
      <c r="N295" s="426" t="s">
        <v>491</v>
      </c>
      <c r="O295" s="427" t="s">
        <v>653</v>
      </c>
      <c r="P295" s="628"/>
      <c r="Q295" s="628"/>
      <c r="R295" s="628"/>
      <c r="S295" s="628"/>
      <c r="T295" s="628"/>
      <c r="U295" s="628"/>
      <c r="V295" s="627"/>
      <c r="W295" s="627"/>
      <c r="X295" s="627"/>
      <c r="Y295" s="627"/>
      <c r="Z295" s="627"/>
      <c r="AA295" s="627"/>
      <c r="AB295" s="627"/>
      <c r="AC295" s="627"/>
      <c r="AD295" s="627"/>
      <c r="AE295" s="627"/>
      <c r="AF295" s="627"/>
      <c r="AG295" s="627"/>
      <c r="AH295" s="627"/>
      <c r="AI295" s="627"/>
    </row>
    <row r="296" spans="2:35" s="625" customFormat="1">
      <c r="B296" s="1688" t="s">
        <v>197</v>
      </c>
      <c r="C296" s="406" t="s">
        <v>199</v>
      </c>
      <c r="D296" s="407"/>
      <c r="E296" s="407"/>
      <c r="F296" s="407"/>
      <c r="G296" s="407"/>
      <c r="H296" s="407"/>
      <c r="I296" s="407"/>
      <c r="J296" s="407"/>
      <c r="K296" s="407"/>
      <c r="L296" s="407"/>
      <c r="M296" s="407"/>
      <c r="N296" s="407"/>
      <c r="O296" s="408"/>
      <c r="P296" s="411" t="s">
        <v>200</v>
      </c>
      <c r="Q296" s="412"/>
      <c r="R296" s="412"/>
      <c r="S296" s="412"/>
      <c r="T296" s="413"/>
      <c r="U296" s="413"/>
      <c r="V296" s="384"/>
      <c r="W296" s="384"/>
      <c r="X296" s="384"/>
      <c r="Y296" s="384"/>
      <c r="Z296" s="384"/>
      <c r="AA296" s="384"/>
      <c r="AB296" s="413"/>
      <c r="AC296" s="413"/>
      <c r="AD296" s="413"/>
      <c r="AE296" s="413"/>
      <c r="AF296" s="413"/>
      <c r="AG296" s="773"/>
      <c r="AH296" s="771" t="s">
        <v>1080</v>
      </c>
      <c r="AI296" s="617"/>
    </row>
    <row r="297" spans="2:35" s="625" customFormat="1">
      <c r="B297" s="1689"/>
      <c r="C297" s="403"/>
      <c r="D297" s="404"/>
      <c r="E297" s="404"/>
      <c r="F297" s="404"/>
      <c r="G297" s="404"/>
      <c r="H297" s="404"/>
      <c r="I297" s="404"/>
      <c r="J297" s="404"/>
      <c r="K297" s="404"/>
      <c r="L297" s="404"/>
      <c r="M297" s="404"/>
      <c r="N297" s="404"/>
      <c r="O297" s="405"/>
      <c r="P297" s="409"/>
      <c r="Q297" s="410"/>
      <c r="R297" s="357" t="s">
        <v>875</v>
      </c>
      <c r="S297" s="358"/>
      <c r="T297" s="384"/>
      <c r="U297" s="384"/>
      <c r="V297" s="385"/>
      <c r="W297" s="358" t="s">
        <v>876</v>
      </c>
      <c r="X297" s="358"/>
      <c r="Y297" s="384"/>
      <c r="Z297" s="384"/>
      <c r="AA297" s="384"/>
      <c r="AB297" s="357" t="s">
        <v>1107</v>
      </c>
      <c r="AC297" s="770"/>
      <c r="AD297" s="770"/>
      <c r="AE297" s="770"/>
      <c r="AF297" s="770"/>
      <c r="AG297" s="1686" t="s">
        <v>1112</v>
      </c>
      <c r="AH297" s="772"/>
      <c r="AI297" s="618"/>
    </row>
    <row r="298" spans="2:35" s="625" customFormat="1" ht="36">
      <c r="B298" s="1690"/>
      <c r="C298" s="125" t="s">
        <v>612</v>
      </c>
      <c r="D298" s="125" t="s">
        <v>878</v>
      </c>
      <c r="E298" s="792" t="s">
        <v>637</v>
      </c>
      <c r="F298" s="792" t="s">
        <v>1104</v>
      </c>
      <c r="G298" s="314" t="s">
        <v>819</v>
      </c>
      <c r="H298" s="314" t="s">
        <v>824</v>
      </c>
      <c r="I298" s="792" t="s">
        <v>638</v>
      </c>
      <c r="J298" s="792" t="s">
        <v>639</v>
      </c>
      <c r="K298" s="125" t="s">
        <v>645</v>
      </c>
      <c r="L298" s="125" t="s">
        <v>635</v>
      </c>
      <c r="M298" s="125" t="s">
        <v>797</v>
      </c>
      <c r="N298" s="125" t="s">
        <v>636</v>
      </c>
      <c r="O298" s="125" t="s">
        <v>1106</v>
      </c>
      <c r="P298" s="131" t="s">
        <v>612</v>
      </c>
      <c r="Q298" s="131" t="s">
        <v>879</v>
      </c>
      <c r="R298" s="131" t="s">
        <v>637</v>
      </c>
      <c r="S298" s="131" t="s">
        <v>639</v>
      </c>
      <c r="T298" s="131" t="s">
        <v>641</v>
      </c>
      <c r="U298" s="131" t="s">
        <v>642</v>
      </c>
      <c r="V298" s="131" t="s">
        <v>1106</v>
      </c>
      <c r="W298" s="131" t="s">
        <v>1127</v>
      </c>
      <c r="X298" s="131" t="s">
        <v>646</v>
      </c>
      <c r="Y298" s="131" t="s">
        <v>874</v>
      </c>
      <c r="Z298" s="131" t="s">
        <v>650</v>
      </c>
      <c r="AA298" s="131" t="s">
        <v>1106</v>
      </c>
      <c r="AB298" s="131" t="s">
        <v>1127</v>
      </c>
      <c r="AC298" s="131" t="s">
        <v>874</v>
      </c>
      <c r="AD298" s="131" t="s">
        <v>1109</v>
      </c>
      <c r="AE298" s="131" t="s">
        <v>1105</v>
      </c>
      <c r="AF298" s="796" t="s">
        <v>1106</v>
      </c>
      <c r="AG298" s="1687"/>
      <c r="AH298" s="795" t="s">
        <v>228</v>
      </c>
      <c r="AI298" s="619" t="s">
        <v>87</v>
      </c>
    </row>
    <row r="299" spans="2:35" s="625" customFormat="1">
      <c r="B299" s="364" t="s">
        <v>198</v>
      </c>
      <c r="C299" s="793" t="s">
        <v>45</v>
      </c>
      <c r="D299" s="793" t="s">
        <v>45</v>
      </c>
      <c r="E299" s="784" t="s">
        <v>108</v>
      </c>
      <c r="F299" s="784" t="s">
        <v>640</v>
      </c>
      <c r="G299" s="797" t="s">
        <v>821</v>
      </c>
      <c r="H299" s="797" t="s">
        <v>51</v>
      </c>
      <c r="I299" s="784" t="s">
        <v>109</v>
      </c>
      <c r="J299" s="784" t="s">
        <v>516</v>
      </c>
      <c r="K299" s="793" t="s">
        <v>6</v>
      </c>
      <c r="L299" s="784" t="s">
        <v>133</v>
      </c>
      <c r="M299" s="784" t="s">
        <v>798</v>
      </c>
      <c r="N299" s="784" t="s">
        <v>42</v>
      </c>
      <c r="O299" s="125" t="s">
        <v>374</v>
      </c>
      <c r="P299" s="87" t="s">
        <v>45</v>
      </c>
      <c r="Q299" s="87" t="s">
        <v>45</v>
      </c>
      <c r="R299" s="87" t="s">
        <v>108</v>
      </c>
      <c r="S299" s="87" t="s">
        <v>516</v>
      </c>
      <c r="T299" s="131" t="s">
        <v>6</v>
      </c>
      <c r="U299" s="131" t="s">
        <v>42</v>
      </c>
      <c r="V299" s="131" t="s">
        <v>374</v>
      </c>
      <c r="W299" s="87" t="s">
        <v>516</v>
      </c>
      <c r="X299" s="131" t="s">
        <v>647</v>
      </c>
      <c r="Y299" s="362" t="s">
        <v>649</v>
      </c>
      <c r="Z299" s="362" t="s">
        <v>42</v>
      </c>
      <c r="AA299" s="131" t="s">
        <v>374</v>
      </c>
      <c r="AB299" s="87" t="s">
        <v>516</v>
      </c>
      <c r="AC299" s="362" t="s">
        <v>649</v>
      </c>
      <c r="AD299" s="362" t="s">
        <v>1110</v>
      </c>
      <c r="AE299" s="362" t="s">
        <v>42</v>
      </c>
      <c r="AF299" s="131" t="s">
        <v>374</v>
      </c>
      <c r="AG299" s="131" t="s">
        <v>374</v>
      </c>
      <c r="AH299" s="120" t="s">
        <v>374</v>
      </c>
      <c r="AI299" s="619" t="s">
        <v>42</v>
      </c>
    </row>
    <row r="300" spans="2:35" s="625" customFormat="1">
      <c r="B300" s="867" t="s">
        <v>77</v>
      </c>
      <c r="C300" s="866" t="s">
        <v>1126</v>
      </c>
      <c r="D300" s="584" t="s">
        <v>135</v>
      </c>
      <c r="E300" s="868">
        <v>75</v>
      </c>
      <c r="F300" s="869">
        <v>15</v>
      </c>
      <c r="G300" s="870">
        <v>8</v>
      </c>
      <c r="H300" s="869">
        <v>220</v>
      </c>
      <c r="I300" s="871">
        <v>1760</v>
      </c>
      <c r="J300" s="869">
        <v>70</v>
      </c>
      <c r="K300" s="872">
        <v>92400</v>
      </c>
      <c r="L300" s="872">
        <v>18480</v>
      </c>
      <c r="M300" s="873">
        <v>194.94584837545128</v>
      </c>
      <c r="N300" s="874">
        <v>3602599.2779783397</v>
      </c>
      <c r="O300" s="875">
        <v>42873.599999999999</v>
      </c>
      <c r="P300" s="500" t="s">
        <v>1126</v>
      </c>
      <c r="Q300" s="584"/>
      <c r="R300" s="586">
        <v>75</v>
      </c>
      <c r="S300" s="586">
        <v>65</v>
      </c>
      <c r="T300" s="501" t="s">
        <v>1125</v>
      </c>
      <c r="U300" s="501" t="s">
        <v>1125</v>
      </c>
      <c r="V300" s="876" t="s">
        <v>1125</v>
      </c>
      <c r="W300" s="869">
        <v>80</v>
      </c>
      <c r="X300" s="501" t="s">
        <v>1125</v>
      </c>
      <c r="Y300" s="877" t="s">
        <v>1125</v>
      </c>
      <c r="Z300" s="878" t="s">
        <v>1125</v>
      </c>
      <c r="AA300" s="878" t="s">
        <v>1125</v>
      </c>
      <c r="AB300" s="879">
        <v>80</v>
      </c>
      <c r="AC300" s="878">
        <v>14784</v>
      </c>
      <c r="AD300" s="878">
        <v>194.94584837545128</v>
      </c>
      <c r="AE300" s="878">
        <v>2882079.4223826719</v>
      </c>
      <c r="AF300" s="502">
        <v>34298.879999999997</v>
      </c>
      <c r="AG300" s="880">
        <v>34298.879999999997</v>
      </c>
      <c r="AH300" s="503">
        <v>8574.7200000000012</v>
      </c>
      <c r="AI300" s="620">
        <v>720519.85559566785</v>
      </c>
    </row>
    <row r="301" spans="2:35" s="625" customFormat="1"/>
    <row r="302" spans="2:35" s="625" customFormat="1"/>
    <row r="303" spans="2:35" s="625" customFormat="1"/>
    <row r="304" spans="2:35" s="625" customFormat="1"/>
    <row r="305" spans="1:19" s="625" customFormat="1"/>
    <row r="306" spans="1:19" s="625" customFormat="1"/>
    <row r="307" spans="1:19" s="625" customFormat="1"/>
    <row r="308" spans="1:19" s="625" customFormat="1"/>
    <row r="309" spans="1:19" s="625" customFormat="1"/>
    <row r="310" spans="1:19" s="625" customFormat="1"/>
    <row r="311" spans="1:19" s="625" customFormat="1"/>
    <row r="312" spans="1:19" s="625" customFormat="1"/>
    <row r="313" spans="1:19" s="630" customFormat="1"/>
    <row r="314" spans="1:19" s="630" customFormat="1" ht="23.5">
      <c r="A314" s="631" t="s">
        <v>1141</v>
      </c>
    </row>
    <row r="315" spans="1:19" s="630" customFormat="1"/>
    <row r="316" spans="1:19" s="630" customFormat="1"/>
    <row r="317" spans="1:19" s="630" customFormat="1"/>
    <row r="318" spans="1:19" s="630" customFormat="1" ht="18.5" thickBot="1"/>
    <row r="319" spans="1:19" s="630" customFormat="1" ht="18.5" thickBot="1">
      <c r="R319" s="1691" t="s">
        <v>663</v>
      </c>
      <c r="S319" s="1692"/>
    </row>
    <row r="320" spans="1:19" s="630" customFormat="1">
      <c r="R320" s="424" t="s">
        <v>237</v>
      </c>
      <c r="S320" s="791" t="s">
        <v>651</v>
      </c>
    </row>
    <row r="321" spans="2:31" s="630" customFormat="1" ht="18.5" thickBot="1">
      <c r="R321" s="426" t="s">
        <v>491</v>
      </c>
      <c r="S321" s="427" t="s">
        <v>653</v>
      </c>
    </row>
    <row r="322" spans="2:31" s="630" customFormat="1">
      <c r="B322" s="1688" t="s">
        <v>197</v>
      </c>
      <c r="C322" s="406" t="s">
        <v>199</v>
      </c>
      <c r="D322" s="573"/>
      <c r="E322" s="568"/>
      <c r="F322" s="407"/>
      <c r="G322" s="407"/>
      <c r="H322" s="407"/>
      <c r="I322" s="407"/>
      <c r="J322" s="407"/>
      <c r="K322" s="407"/>
      <c r="L322" s="407"/>
      <c r="M322" s="407"/>
      <c r="N322" s="408"/>
      <c r="O322" s="411" t="s">
        <v>200</v>
      </c>
      <c r="P322" s="412"/>
      <c r="Q322" s="579"/>
      <c r="R322" s="412"/>
      <c r="S322" s="412"/>
      <c r="T322" s="412"/>
      <c r="U322" s="412"/>
      <c r="V322" s="413"/>
      <c r="W322" s="384"/>
      <c r="X322" s="384"/>
      <c r="Y322" s="384"/>
      <c r="Z322" s="358"/>
      <c r="AA322" s="384"/>
      <c r="AB322" s="413"/>
      <c r="AC322" s="413"/>
      <c r="AD322" s="612" t="s">
        <v>210</v>
      </c>
      <c r="AE322" s="613"/>
    </row>
    <row r="323" spans="2:31" s="630" customFormat="1">
      <c r="B323" s="1689"/>
      <c r="C323" s="403"/>
      <c r="D323" s="574"/>
      <c r="E323" s="569"/>
      <c r="F323" s="404"/>
      <c r="G323" s="404"/>
      <c r="H323" s="404"/>
      <c r="I323" s="404"/>
      <c r="J323" s="404"/>
      <c r="K323" s="404"/>
      <c r="L323" s="404"/>
      <c r="M323" s="404"/>
      <c r="N323" s="405"/>
      <c r="O323" s="409"/>
      <c r="P323" s="410"/>
      <c r="Q323" s="580" t="s">
        <v>861</v>
      </c>
      <c r="R323" s="358"/>
      <c r="S323" s="358"/>
      <c r="T323" s="358"/>
      <c r="U323" s="358"/>
      <c r="V323" s="608"/>
      <c r="W323" s="384"/>
      <c r="X323" s="384"/>
      <c r="Y323" s="357" t="s">
        <v>862</v>
      </c>
      <c r="Z323" s="358"/>
      <c r="AA323" s="384"/>
      <c r="AB323" s="413"/>
      <c r="AC323" s="413"/>
      <c r="AD323" s="614"/>
      <c r="AE323" s="615"/>
    </row>
    <row r="324" spans="2:31" s="630" customFormat="1" ht="24">
      <c r="B324" s="1690"/>
      <c r="C324" s="125" t="s">
        <v>612</v>
      </c>
      <c r="D324" s="125" t="s">
        <v>809</v>
      </c>
      <c r="E324" s="784" t="s">
        <v>794</v>
      </c>
      <c r="F324" s="314" t="s">
        <v>637</v>
      </c>
      <c r="G324" s="314" t="s">
        <v>819</v>
      </c>
      <c r="H324" s="314" t="s">
        <v>824</v>
      </c>
      <c r="I324" s="792" t="s">
        <v>792</v>
      </c>
      <c r="J324" s="792" t="s">
        <v>639</v>
      </c>
      <c r="K324" s="125" t="s">
        <v>818</v>
      </c>
      <c r="L324" s="125" t="s">
        <v>791</v>
      </c>
      <c r="M324" s="125" t="s">
        <v>642</v>
      </c>
      <c r="N324" s="125" t="s">
        <v>205</v>
      </c>
      <c r="O324" s="131" t="s">
        <v>612</v>
      </c>
      <c r="P324" s="131" t="s">
        <v>804</v>
      </c>
      <c r="Q324" s="581" t="s">
        <v>796</v>
      </c>
      <c r="R324" s="131" t="s">
        <v>819</v>
      </c>
      <c r="S324" s="131" t="s">
        <v>822</v>
      </c>
      <c r="T324" s="131" t="s">
        <v>792</v>
      </c>
      <c r="U324" s="131" t="s">
        <v>639</v>
      </c>
      <c r="V324" s="131" t="s">
        <v>641</v>
      </c>
      <c r="W324" s="131" t="s">
        <v>642</v>
      </c>
      <c r="X324" s="131" t="s">
        <v>205</v>
      </c>
      <c r="Y324" s="131" t="s">
        <v>1127</v>
      </c>
      <c r="Z324" s="131" t="s">
        <v>646</v>
      </c>
      <c r="AA324" s="131" t="s">
        <v>648</v>
      </c>
      <c r="AB324" s="131" t="s">
        <v>650</v>
      </c>
      <c r="AC324" s="131" t="s">
        <v>205</v>
      </c>
      <c r="AD324" s="553" t="s">
        <v>793</v>
      </c>
      <c r="AE324" s="553" t="s">
        <v>87</v>
      </c>
    </row>
    <row r="325" spans="2:31" s="630" customFormat="1">
      <c r="B325" s="364" t="s">
        <v>198</v>
      </c>
      <c r="C325" s="793" t="s">
        <v>45</v>
      </c>
      <c r="D325" s="316"/>
      <c r="E325" s="793" t="s">
        <v>45</v>
      </c>
      <c r="F325" s="784" t="s">
        <v>108</v>
      </c>
      <c r="G325" s="797" t="s">
        <v>821</v>
      </c>
      <c r="H325" s="797" t="s">
        <v>51</v>
      </c>
      <c r="I325" s="784" t="s">
        <v>53</v>
      </c>
      <c r="J325" s="784" t="s">
        <v>516</v>
      </c>
      <c r="K325" s="784" t="s">
        <v>6</v>
      </c>
      <c r="L325" s="784" t="s">
        <v>90</v>
      </c>
      <c r="M325" s="784" t="s">
        <v>42</v>
      </c>
      <c r="N325" s="125" t="s">
        <v>374</v>
      </c>
      <c r="O325" s="87" t="s">
        <v>45</v>
      </c>
      <c r="P325" s="87" t="s">
        <v>45</v>
      </c>
      <c r="Q325" s="454" t="s">
        <v>108</v>
      </c>
      <c r="R325" s="87" t="s">
        <v>820</v>
      </c>
      <c r="S325" s="87" t="s">
        <v>51</v>
      </c>
      <c r="T325" s="87" t="s">
        <v>825</v>
      </c>
      <c r="U325" s="87" t="s">
        <v>516</v>
      </c>
      <c r="V325" s="131" t="s">
        <v>6</v>
      </c>
      <c r="W325" s="131" t="s">
        <v>42</v>
      </c>
      <c r="X325" s="131" t="s">
        <v>374</v>
      </c>
      <c r="Y325" s="87" t="s">
        <v>516</v>
      </c>
      <c r="Z325" s="131" t="s">
        <v>647</v>
      </c>
      <c r="AA325" s="362" t="s">
        <v>649</v>
      </c>
      <c r="AB325" s="362" t="s">
        <v>42</v>
      </c>
      <c r="AC325" s="131" t="s">
        <v>374</v>
      </c>
      <c r="AD325" s="553" t="s">
        <v>374</v>
      </c>
      <c r="AE325" s="553" t="s">
        <v>42</v>
      </c>
    </row>
    <row r="326" spans="2:31" s="630" customFormat="1" ht="48">
      <c r="B326" s="865" t="s">
        <v>77</v>
      </c>
      <c r="C326" s="866" t="s">
        <v>1124</v>
      </c>
      <c r="D326" s="584" t="s">
        <v>805</v>
      </c>
      <c r="E326" s="881" t="s">
        <v>795</v>
      </c>
      <c r="F326" s="882">
        <v>75</v>
      </c>
      <c r="G326" s="883">
        <v>8</v>
      </c>
      <c r="H326" s="882">
        <v>220</v>
      </c>
      <c r="I326" s="767">
        <v>1760</v>
      </c>
      <c r="J326" s="884">
        <v>75</v>
      </c>
      <c r="K326" s="548">
        <v>99000</v>
      </c>
      <c r="L326" s="498">
        <v>94.630872483221481</v>
      </c>
      <c r="M326" s="499">
        <v>9368456.3758389261</v>
      </c>
      <c r="N326" s="585">
        <v>42570</v>
      </c>
      <c r="O326" s="500" t="s">
        <v>1124</v>
      </c>
      <c r="P326" s="497" t="s">
        <v>643</v>
      </c>
      <c r="Q326" s="586">
        <v>70</v>
      </c>
      <c r="R326" s="885">
        <v>8</v>
      </c>
      <c r="S326" s="586">
        <v>220</v>
      </c>
      <c r="T326" s="611">
        <v>1760</v>
      </c>
      <c r="U326" s="586">
        <v>75</v>
      </c>
      <c r="V326" s="501">
        <v>92400</v>
      </c>
      <c r="W326" s="501">
        <v>8743892.6174496654</v>
      </c>
      <c r="X326" s="550">
        <v>39732</v>
      </c>
      <c r="Y326" s="609">
        <v>80</v>
      </c>
      <c r="Z326" s="598" t="s">
        <v>1125</v>
      </c>
      <c r="AA326" s="598" t="s">
        <v>1125</v>
      </c>
      <c r="AB326" s="767" t="s">
        <v>1125</v>
      </c>
      <c r="AC326" s="598" t="s">
        <v>1125</v>
      </c>
      <c r="AD326" s="598">
        <v>2838</v>
      </c>
      <c r="AE326" s="598">
        <v>624563.75838926062</v>
      </c>
    </row>
    <row r="327" spans="2:31" s="630" customFormat="1"/>
    <row r="328" spans="2:31" s="630" customFormat="1"/>
    <row r="329" spans="2:31" s="630" customFormat="1"/>
    <row r="330" spans="2:31" s="630" customFormat="1"/>
    <row r="331" spans="2:31" s="630" customFormat="1"/>
    <row r="332" spans="2:31" s="630" customFormat="1"/>
    <row r="333" spans="2:31" s="630" customFormat="1"/>
    <row r="334" spans="2:31" s="630" customFormat="1"/>
    <row r="335" spans="2:31" s="630" customFormat="1"/>
    <row r="336" spans="2:31" s="630" customFormat="1"/>
    <row r="337" s="630" customFormat="1"/>
    <row r="338" s="630" customFormat="1"/>
  </sheetData>
  <mergeCells count="77">
    <mergeCell ref="J40:N40"/>
    <mergeCell ref="N6:N7"/>
    <mergeCell ref="O6:O7"/>
    <mergeCell ref="B33:B34"/>
    <mergeCell ref="J38:N38"/>
    <mergeCell ref="K39:N39"/>
    <mergeCell ref="B124:B125"/>
    <mergeCell ref="Y133:Y136"/>
    <mergeCell ref="J41:K41"/>
    <mergeCell ref="J42:K42"/>
    <mergeCell ref="J43:K43"/>
    <mergeCell ref="B54:B56"/>
    <mergeCell ref="B85:B87"/>
    <mergeCell ref="T95:T97"/>
    <mergeCell ref="B50:E50"/>
    <mergeCell ref="B81:E81"/>
    <mergeCell ref="F162:G162"/>
    <mergeCell ref="V162:W162"/>
    <mergeCell ref="T98:T100"/>
    <mergeCell ref="T101:T103"/>
    <mergeCell ref="T104:T106"/>
    <mergeCell ref="T107:T109"/>
    <mergeCell ref="B159:B160"/>
    <mergeCell ref="F160:G160"/>
    <mergeCell ref="V160:W160"/>
    <mergeCell ref="F161:G161"/>
    <mergeCell ref="V161:W161"/>
    <mergeCell ref="B186:B187"/>
    <mergeCell ref="B211:B212"/>
    <mergeCell ref="B229:B230"/>
    <mergeCell ref="H226:I226"/>
    <mergeCell ref="L225:N225"/>
    <mergeCell ref="L226:M226"/>
    <mergeCell ref="L239:L241"/>
    <mergeCell ref="L227:M227"/>
    <mergeCell ref="L228:M228"/>
    <mergeCell ref="L229:M229"/>
    <mergeCell ref="L230:M230"/>
    <mergeCell ref="L231:M231"/>
    <mergeCell ref="L232:M232"/>
    <mergeCell ref="L233:M233"/>
    <mergeCell ref="L234:M234"/>
    <mergeCell ref="L235:M235"/>
    <mergeCell ref="L236:M236"/>
    <mergeCell ref="L237:L238"/>
    <mergeCell ref="B256:B257"/>
    <mergeCell ref="L252:N252"/>
    <mergeCell ref="L253:M253"/>
    <mergeCell ref="L254:M254"/>
    <mergeCell ref="L255:M255"/>
    <mergeCell ref="L242:M242"/>
    <mergeCell ref="L243:M243"/>
    <mergeCell ref="L244:M246"/>
    <mergeCell ref="N244:N246"/>
    <mergeCell ref="O244:O246"/>
    <mergeCell ref="Q226:Q228"/>
    <mergeCell ref="Q229:Q230"/>
    <mergeCell ref="B281:B282"/>
    <mergeCell ref="N293:O293"/>
    <mergeCell ref="L262:M262"/>
    <mergeCell ref="L263:L264"/>
    <mergeCell ref="L265:L266"/>
    <mergeCell ref="L267:M267"/>
    <mergeCell ref="L268:M268"/>
    <mergeCell ref="L269:M271"/>
    <mergeCell ref="L256:M256"/>
    <mergeCell ref="L257:M257"/>
    <mergeCell ref="L258:M258"/>
    <mergeCell ref="L259:M259"/>
    <mergeCell ref="L260:M260"/>
    <mergeCell ref="L261:M261"/>
    <mergeCell ref="AG297:AG298"/>
    <mergeCell ref="B322:B324"/>
    <mergeCell ref="R319:S319"/>
    <mergeCell ref="N269:N271"/>
    <mergeCell ref="O269:O271"/>
    <mergeCell ref="B296:B298"/>
  </mergeCells>
  <phoneticPr fontId="2"/>
  <conditionalFormatting sqref="E127">
    <cfRule type="expression" dxfId="93" priority="60">
      <formula>$D127="給湯器（HP）"</formula>
    </cfRule>
  </conditionalFormatting>
  <conditionalFormatting sqref="N236">
    <cfRule type="cellIs" dxfId="92" priority="1" operator="equal">
      <formula>"可"</formula>
    </cfRule>
    <cfRule type="expression" dxfId="91" priority="2">
      <formula>"可"</formula>
    </cfRule>
    <cfRule type="containsText" dxfId="90" priority="8" operator="containsText" text="不可">
      <formula>NOT(ISERROR(SEARCH("不可",N236)))</formula>
    </cfRule>
  </conditionalFormatting>
  <conditionalFormatting sqref="N236:N241">
    <cfRule type="expression" dxfId="89" priority="6">
      <formula>$N$4&gt;$N$9</formula>
    </cfRule>
  </conditionalFormatting>
  <conditionalFormatting sqref="N237:N241">
    <cfRule type="expression" dxfId="88" priority="7">
      <formula>$N$14="不可"</formula>
    </cfRule>
  </conditionalFormatting>
  <conditionalFormatting sqref="N242">
    <cfRule type="expression" dxfId="87" priority="4">
      <formula>$N$14="不可"</formula>
    </cfRule>
    <cfRule type="expression" dxfId="86" priority="5">
      <formula>$N$14="可"</formula>
    </cfRule>
  </conditionalFormatting>
  <conditionalFormatting sqref="N242:N243">
    <cfRule type="expression" dxfId="85" priority="3">
      <formula>$N$4&gt;$N$9</formula>
    </cfRule>
  </conditionalFormatting>
  <conditionalFormatting sqref="N262">
    <cfRule type="cellIs" dxfId="84" priority="24" operator="equal">
      <formula>"可"</formula>
    </cfRule>
    <cfRule type="expression" dxfId="83" priority="25">
      <formula>"可"</formula>
    </cfRule>
    <cfRule type="expression" dxfId="82" priority="26">
      <formula>$N$4&gt;$N$9</formula>
    </cfRule>
    <cfRule type="containsText" dxfId="81" priority="27" operator="containsText" text="不可">
      <formula>NOT(ISERROR(SEARCH("不可",N262)))</formula>
    </cfRule>
  </conditionalFormatting>
  <conditionalFormatting sqref="N263:N266">
    <cfRule type="expression" dxfId="80" priority="22">
      <formula>$O$13="不可"</formula>
    </cfRule>
  </conditionalFormatting>
  <conditionalFormatting sqref="N267">
    <cfRule type="expression" dxfId="79" priority="20">
      <formula>$O$13="不可"</formula>
    </cfRule>
    <cfRule type="expression" dxfId="78" priority="21">
      <formula>$O$13="可"</formula>
    </cfRule>
  </conditionalFormatting>
  <conditionalFormatting sqref="N268">
    <cfRule type="expression" dxfId="77" priority="19">
      <formula>$O$13="可"</formula>
    </cfRule>
    <cfRule type="expression" dxfId="76" priority="23">
      <formula>$N$4&gt;$N$9</formula>
    </cfRule>
  </conditionalFormatting>
  <conditionalFormatting sqref="N295">
    <cfRule type="expression" dxfId="75" priority="16">
      <formula>$D$1="なし"</formula>
    </cfRule>
  </conditionalFormatting>
  <conditionalFormatting sqref="N13:O15">
    <cfRule type="expression" dxfId="74" priority="62">
      <formula>$M13="電気"</formula>
    </cfRule>
  </conditionalFormatting>
  <conditionalFormatting sqref="O295">
    <cfRule type="expression" dxfId="73" priority="17">
      <formula>$F$1="なし"</formula>
    </cfRule>
  </conditionalFormatting>
  <conditionalFormatting sqref="Q326:X326">
    <cfRule type="expression" dxfId="72" priority="11">
      <formula>$P326="ガス式"</formula>
    </cfRule>
  </conditionalFormatting>
  <conditionalFormatting sqref="R321">
    <cfRule type="expression" dxfId="71" priority="9">
      <formula>$D$1="なし"</formula>
    </cfRule>
  </conditionalFormatting>
  <conditionalFormatting sqref="R300:V300 AB300:AF300">
    <cfRule type="expression" dxfId="70" priority="14">
      <formula>$Q300="ガス式"</formula>
    </cfRule>
  </conditionalFormatting>
  <conditionalFormatting sqref="R300:AA300">
    <cfRule type="expression" dxfId="69" priority="13">
      <formula>$Q300="その他燃料"</formula>
    </cfRule>
  </conditionalFormatting>
  <conditionalFormatting sqref="S257">
    <cfRule type="expression" dxfId="68" priority="18">
      <formula>#REF!="不可"</formula>
    </cfRule>
  </conditionalFormatting>
  <conditionalFormatting sqref="S321">
    <cfRule type="expression" dxfId="67" priority="10">
      <formula>$F$1="なし"</formula>
    </cfRule>
  </conditionalFormatting>
  <conditionalFormatting sqref="W300:AF300">
    <cfRule type="expression" dxfId="66" priority="15">
      <formula>$Q300="電気式"</formula>
    </cfRule>
  </conditionalFormatting>
  <conditionalFormatting sqref="AA127">
    <cfRule type="expression" dxfId="65" priority="61">
      <formula>#REF!="なし"</formula>
    </cfRule>
  </conditionalFormatting>
  <dataValidations count="3">
    <dataValidation type="list" allowBlank="1" showInputMessage="1" showErrorMessage="1" sqref="E232" xr:uid="{0ED7081B-34F4-4870-81AB-EA20B30C6D30}">
      <formula1>"屋根,地上"</formula1>
    </dataValidation>
    <dataValidation type="list" allowBlank="1" showInputMessage="1" showErrorMessage="1" sqref="P36 H36" xr:uid="{C6B20687-B804-4BD9-980C-6467A3929854}">
      <formula1>"○"</formula1>
    </dataValidation>
    <dataValidation type="list" allowBlank="1" showInputMessage="1" showErrorMessage="1" sqref="N262" xr:uid="{61813535-42D6-47BA-B098-FA537579C45E}">
      <formula1>"可,不可"</formula1>
    </dataValidation>
  </dataValidations>
  <pageMargins left="0.7" right="0.7" top="0.75" bottom="0.75" header="0.3" footer="0.3"/>
  <pageSetup paperSize="9" scale="31" fitToHeight="0" orientation="landscape" horizontalDpi="0" verticalDpi="0" r:id="rId1"/>
  <rowBreaks count="4" manualBreakCount="4">
    <brk id="71" max="16383" man="1"/>
    <brk id="143" max="16383" man="1"/>
    <brk id="221" max="16383" man="1"/>
    <brk id="286"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21157-86F5-47A6-999C-677F087BE200}">
  <sheetPr codeName="Sheet6"/>
  <dimension ref="A1:AG47"/>
  <sheetViews>
    <sheetView zoomScaleNormal="100" zoomScaleSheetLayoutView="100" workbookViewId="0">
      <pane ySplit="1" topLeftCell="A2" activePane="bottomLeft" state="frozen"/>
      <selection pane="bottomLeft" activeCell="A2" sqref="A2"/>
    </sheetView>
  </sheetViews>
  <sheetFormatPr defaultColWidth="9" defaultRowHeight="18.75" customHeight="1"/>
  <cols>
    <col min="1" max="1" width="3.58203125" style="1" customWidth="1"/>
    <col min="2" max="2" width="11.5" style="1" customWidth="1"/>
    <col min="3" max="14" width="10.58203125" style="1" customWidth="1"/>
    <col min="15" max="15" width="13.08203125" style="1" bestFit="1" customWidth="1"/>
    <col min="16" max="20" width="10.58203125" style="1" customWidth="1"/>
    <col min="21" max="21" width="10.83203125" style="1" bestFit="1" customWidth="1"/>
    <col min="22" max="23" width="9" style="1"/>
    <col min="24" max="24" width="23.58203125" style="1" bestFit="1" customWidth="1"/>
    <col min="25" max="25" width="11.33203125" style="1" bestFit="1" customWidth="1"/>
    <col min="26" max="16384" width="9" style="1"/>
  </cols>
  <sheetData>
    <row r="1" spans="1:33" ht="30" customHeight="1">
      <c r="A1" s="107" t="s">
        <v>149</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1:33" ht="18.7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33" ht="18.75" customHeight="1">
      <c r="A3" s="4"/>
      <c r="B3" s="4"/>
      <c r="C3" s="96" t="s">
        <v>15</v>
      </c>
      <c r="D3" s="97"/>
      <c r="E3" s="90" t="s">
        <v>7</v>
      </c>
      <c r="F3" s="90" t="s">
        <v>54</v>
      </c>
      <c r="G3" s="90" t="s">
        <v>74</v>
      </c>
      <c r="H3" s="84" t="s">
        <v>75</v>
      </c>
      <c r="I3" s="90" t="s">
        <v>76</v>
      </c>
      <c r="J3" s="4"/>
      <c r="K3" s="4"/>
      <c r="L3" s="4"/>
      <c r="M3" s="4"/>
      <c r="N3" s="33"/>
      <c r="O3" s="33"/>
      <c r="P3" s="4"/>
      <c r="Q3" s="4"/>
      <c r="R3" s="4"/>
      <c r="S3" s="4"/>
      <c r="T3" s="4"/>
      <c r="U3" s="4"/>
      <c r="V3" s="4"/>
      <c r="W3" s="33"/>
      <c r="X3" s="33"/>
      <c r="Y3" s="4"/>
      <c r="Z3" s="4"/>
      <c r="AA3" s="4"/>
      <c r="AB3" s="4"/>
      <c r="AC3" s="4"/>
      <c r="AD3" s="4"/>
      <c r="AE3" s="4"/>
      <c r="AF3" s="4"/>
    </row>
    <row r="4" spans="1:33" ht="18.75" customHeight="1" thickBot="1">
      <c r="A4" s="4"/>
      <c r="B4" s="4"/>
      <c r="C4" s="84" t="s">
        <v>381</v>
      </c>
      <c r="D4" s="84"/>
      <c r="E4" s="90" t="s">
        <v>348</v>
      </c>
      <c r="F4" s="1074">
        <f>I16</f>
        <v>0</v>
      </c>
      <c r="G4" s="1074">
        <f>P16</f>
        <v>0</v>
      </c>
      <c r="H4" s="1074">
        <f>F4-G4</f>
        <v>0</v>
      </c>
      <c r="I4" s="633">
        <f>IF(OR(F4=0,H4=0),0,H4/F4)</f>
        <v>0</v>
      </c>
      <c r="J4" s="4"/>
      <c r="K4" s="4"/>
      <c r="L4" s="4"/>
      <c r="M4" s="4"/>
      <c r="N4" s="4"/>
      <c r="O4" s="4"/>
      <c r="P4" s="4"/>
      <c r="Q4" s="4"/>
      <c r="R4" s="4"/>
      <c r="S4" s="4"/>
      <c r="T4" s="4"/>
      <c r="U4" s="4"/>
      <c r="V4" s="4"/>
      <c r="W4" s="33"/>
      <c r="X4" s="33"/>
      <c r="Y4" s="4"/>
      <c r="Z4" s="4"/>
      <c r="AA4" s="4"/>
      <c r="AB4" s="4"/>
      <c r="AC4" s="4"/>
      <c r="AD4" s="4"/>
      <c r="AE4" s="4"/>
      <c r="AF4" s="4"/>
    </row>
    <row r="5" spans="1:33" ht="18.75" customHeight="1">
      <c r="A5" s="4"/>
      <c r="B5" s="4"/>
      <c r="C5" s="84" t="s">
        <v>382</v>
      </c>
      <c r="D5" s="84"/>
      <c r="E5" s="90" t="s">
        <v>348</v>
      </c>
      <c r="F5" s="1074">
        <f>I17</f>
        <v>0</v>
      </c>
      <c r="G5" s="1074">
        <f>P17</f>
        <v>0</v>
      </c>
      <c r="H5" s="1074">
        <f>F5-G5</f>
        <v>0</v>
      </c>
      <c r="I5" s="633">
        <f>IF(OR(F5=0,H5=0),0,H5/F5)</f>
        <v>0</v>
      </c>
      <c r="J5" s="4"/>
      <c r="K5" s="4"/>
      <c r="L5" s="4"/>
      <c r="M5" s="4"/>
      <c r="N5" s="1789" t="s">
        <v>725</v>
      </c>
      <c r="O5" s="506" t="s">
        <v>729</v>
      </c>
      <c r="P5" s="1784" t="s">
        <v>731</v>
      </c>
      <c r="Q5" s="1785"/>
      <c r="R5" s="1713"/>
      <c r="S5" s="1712" t="s">
        <v>733</v>
      </c>
      <c r="T5" s="1785"/>
      <c r="U5" s="1713"/>
      <c r="V5" s="4"/>
      <c r="W5" s="33"/>
      <c r="X5" s="33"/>
      <c r="Y5" s="33"/>
      <c r="Z5" s="4"/>
      <c r="AA5" s="4"/>
      <c r="AB5" s="4"/>
      <c r="AC5" s="4"/>
      <c r="AD5" s="4"/>
      <c r="AE5" s="4"/>
      <c r="AF5" s="4"/>
    </row>
    <row r="6" spans="1:33" ht="18.75" customHeight="1">
      <c r="A6" s="4"/>
      <c r="B6" s="4"/>
      <c r="C6" s="96" t="s">
        <v>354</v>
      </c>
      <c r="D6" s="97"/>
      <c r="E6" s="90" t="s">
        <v>370</v>
      </c>
      <c r="F6" s="1075"/>
      <c r="G6" s="1074">
        <f>Q18</f>
        <v>0</v>
      </c>
      <c r="H6" s="1075"/>
      <c r="I6" s="634"/>
      <c r="J6" s="4"/>
      <c r="K6" s="90" t="s">
        <v>146</v>
      </c>
      <c r="L6" s="90" t="s">
        <v>147</v>
      </c>
      <c r="M6" s="4"/>
      <c r="N6" s="1790"/>
      <c r="O6" s="507" t="s">
        <v>730</v>
      </c>
      <c r="P6" s="1786"/>
      <c r="Q6" s="1787"/>
      <c r="R6" s="1788"/>
      <c r="S6" s="1721"/>
      <c r="T6" s="1787"/>
      <c r="U6" s="1788"/>
      <c r="W6" s="33"/>
      <c r="X6" s="33"/>
      <c r="Y6" s="4"/>
      <c r="Z6" s="4"/>
      <c r="AA6" s="4"/>
      <c r="AB6" s="4"/>
      <c r="AC6" s="4"/>
      <c r="AD6" s="4"/>
      <c r="AE6" s="4"/>
      <c r="AF6" s="4"/>
    </row>
    <row r="7" spans="1:33" ht="28" customHeight="1">
      <c r="A7" s="4"/>
      <c r="B7" s="4"/>
      <c r="C7" s="96" t="s">
        <v>71</v>
      </c>
      <c r="D7" s="97"/>
      <c r="E7" s="90" t="s">
        <v>72</v>
      </c>
      <c r="F7" s="1074">
        <f>J19</f>
        <v>0</v>
      </c>
      <c r="G7" s="1074">
        <f>R19</f>
        <v>0</v>
      </c>
      <c r="H7" s="1074">
        <f>F7-G7</f>
        <v>0</v>
      </c>
      <c r="I7" s="633">
        <f>IF(OR(F7=0,H7=0),0,H7/F7)</f>
        <v>0</v>
      </c>
      <c r="J7" s="4"/>
      <c r="K7" s="1768" t="s">
        <v>734</v>
      </c>
      <c r="L7" s="1780">
        <v>0.15</v>
      </c>
      <c r="M7" s="4"/>
      <c r="N7" s="494" t="s">
        <v>726</v>
      </c>
      <c r="O7" s="508">
        <v>0.1</v>
      </c>
      <c r="P7" s="1791" t="s">
        <v>732</v>
      </c>
      <c r="Q7" s="1792"/>
      <c r="R7" s="1793"/>
      <c r="S7" s="1797" t="s">
        <v>839</v>
      </c>
      <c r="T7" s="1798"/>
      <c r="U7" s="1799"/>
      <c r="V7" s="4"/>
      <c r="W7" s="33"/>
      <c r="X7" s="33"/>
      <c r="Y7" s="4"/>
      <c r="Z7" s="4"/>
      <c r="AA7" s="4"/>
      <c r="AB7" s="4"/>
      <c r="AC7" s="4"/>
      <c r="AD7" s="4"/>
      <c r="AE7" s="4"/>
      <c r="AF7" s="4"/>
    </row>
    <row r="8" spans="1:33" ht="28" customHeight="1">
      <c r="A8" s="4"/>
      <c r="B8" s="4"/>
      <c r="C8" s="96" t="s">
        <v>1075</v>
      </c>
      <c r="D8" s="97"/>
      <c r="E8" s="90" t="s">
        <v>88</v>
      </c>
      <c r="F8" s="1074">
        <f>ROUND(IFERROR(F4*【共通】事業所の光熱費!$H$12+F5*【共通】事業所の光熱費!$H$13+F6*【共通】事業所の光熱費!$H$6,""),0)</f>
        <v>0</v>
      </c>
      <c r="G8" s="1074">
        <f>ROUND(IFERROR(G4*【共通】事業所の光熱費!$H$12+G5*【共通】事業所の光熱費!$H$13+G6*【共通】事業所の光熱費!$H$6,""),0)</f>
        <v>0</v>
      </c>
      <c r="H8" s="1074">
        <f>F8-G8</f>
        <v>0</v>
      </c>
      <c r="I8" s="633">
        <f>IF(OR(F8=0,H8=0),0,H8/F8)</f>
        <v>0</v>
      </c>
      <c r="J8" s="4"/>
      <c r="K8" s="1778"/>
      <c r="L8" s="1781"/>
      <c r="M8" s="4"/>
      <c r="N8" s="494" t="s">
        <v>727</v>
      </c>
      <c r="O8" s="508">
        <v>0.15</v>
      </c>
      <c r="P8" s="1794" t="s">
        <v>735</v>
      </c>
      <c r="Q8" s="1795"/>
      <c r="R8" s="1796"/>
      <c r="S8" s="1783" t="s">
        <v>837</v>
      </c>
      <c r="T8" s="1783"/>
      <c r="U8" s="1783"/>
      <c r="V8" s="4"/>
      <c r="W8" s="33"/>
      <c r="X8" s="33"/>
      <c r="Y8" s="4"/>
      <c r="Z8" s="4"/>
      <c r="AA8" s="4"/>
      <c r="AB8" s="4"/>
      <c r="AC8" s="4"/>
      <c r="AD8" s="4"/>
      <c r="AE8" s="4"/>
      <c r="AF8" s="4"/>
    </row>
    <row r="9" spans="1:33" ht="28" customHeight="1" thickBot="1">
      <c r="A9" s="4"/>
      <c r="B9" s="4"/>
      <c r="C9" s="84" t="s">
        <v>437</v>
      </c>
      <c r="D9" s="84"/>
      <c r="E9" s="46" t="s">
        <v>163</v>
      </c>
      <c r="F9" s="904">
        <f>(F4*'(参考)排出係数'!$C$6+F5*'(参考)排出係数'!$C$7+F6*'(参考)排出係数'!$C$3)*0.0000258</f>
        <v>0</v>
      </c>
      <c r="G9" s="904">
        <f>(G4*'(参考)排出係数'!$C$6+G5*'(参考)排出係数'!$C$7+G6*'(参考)排出係数'!$C$3)*0.0000258</f>
        <v>0</v>
      </c>
      <c r="H9" s="904">
        <f>F9-G9</f>
        <v>0</v>
      </c>
      <c r="I9" s="633">
        <f>IF(OR(F9=0,H9=0),0,H9/F9)</f>
        <v>0</v>
      </c>
      <c r="J9" s="4"/>
      <c r="K9" s="1779"/>
      <c r="L9" s="1782"/>
      <c r="M9" s="4"/>
      <c r="N9" s="494" t="s">
        <v>728</v>
      </c>
      <c r="O9" s="509">
        <v>0.22</v>
      </c>
      <c r="P9" s="1775" t="s">
        <v>736</v>
      </c>
      <c r="Q9" s="1776"/>
      <c r="R9" s="1777"/>
      <c r="S9" s="1783" t="s">
        <v>838</v>
      </c>
      <c r="T9" s="1783"/>
      <c r="U9" s="1783"/>
      <c r="V9" s="4"/>
      <c r="W9" s="4"/>
      <c r="X9" s="4"/>
      <c r="Y9" s="4"/>
      <c r="Z9" s="4"/>
      <c r="AA9" s="4"/>
      <c r="AB9" s="4"/>
      <c r="AC9" s="4"/>
      <c r="AD9" s="4"/>
      <c r="AE9" s="4"/>
      <c r="AF9" s="4"/>
    </row>
    <row r="10" spans="1:33" ht="28" customHeight="1">
      <c r="A10" s="4"/>
      <c r="B10" s="4"/>
      <c r="C10" s="33" t="s">
        <v>376</v>
      </c>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row>
    <row r="11" spans="1:33" ht="18.75" customHeight="1">
      <c r="A11" s="4"/>
      <c r="B11" s="4"/>
      <c r="C11" s="439" t="s">
        <v>667</v>
      </c>
      <c r="D11" s="440" t="s">
        <v>668</v>
      </c>
      <c r="E11" s="441" t="s">
        <v>723</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row>
    <row r="12" spans="1:33" ht="18.75" customHeight="1">
      <c r="A12" s="4"/>
      <c r="B12" s="22" t="s">
        <v>54</v>
      </c>
      <c r="C12" s="22"/>
      <c r="D12" s="77"/>
      <c r="E12" s="77"/>
      <c r="F12" s="77"/>
      <c r="G12" s="77"/>
      <c r="H12" s="77"/>
      <c r="I12" s="77"/>
      <c r="J12" s="77"/>
      <c r="K12" s="80" t="s">
        <v>74</v>
      </c>
      <c r="L12" s="80"/>
      <c r="M12" s="80"/>
      <c r="N12" s="80"/>
      <c r="O12" s="80"/>
      <c r="P12" s="80"/>
      <c r="Q12" s="80"/>
      <c r="R12" s="80"/>
      <c r="S12" s="46" t="s">
        <v>380</v>
      </c>
      <c r="V12" s="4"/>
      <c r="W12" s="4"/>
      <c r="X12" s="4"/>
      <c r="Y12" s="4"/>
      <c r="Z12" s="4"/>
      <c r="AA12" s="4"/>
      <c r="AB12" s="4"/>
      <c r="AC12" s="4"/>
      <c r="AD12" s="4"/>
      <c r="AE12" s="4"/>
      <c r="AF12" s="4"/>
      <c r="AG12" s="4"/>
    </row>
    <row r="13" spans="1:33" ht="30" customHeight="1">
      <c r="A13" s="4"/>
      <c r="B13" s="25"/>
      <c r="C13" s="61" t="s">
        <v>442</v>
      </c>
      <c r="D13" s="81" t="s">
        <v>131</v>
      </c>
      <c r="E13" s="61" t="s">
        <v>132</v>
      </c>
      <c r="F13" s="61" t="s">
        <v>138</v>
      </c>
      <c r="G13" s="61" t="s">
        <v>142</v>
      </c>
      <c r="H13" s="61" t="s">
        <v>737</v>
      </c>
      <c r="I13" s="61" t="s">
        <v>139</v>
      </c>
      <c r="J13" s="61" t="s">
        <v>134</v>
      </c>
      <c r="K13" s="51" t="s">
        <v>140</v>
      </c>
      <c r="L13" s="52" t="s">
        <v>130</v>
      </c>
      <c r="M13" s="52" t="s">
        <v>132</v>
      </c>
      <c r="N13" s="52" t="s">
        <v>138</v>
      </c>
      <c r="O13" s="51" t="s">
        <v>142</v>
      </c>
      <c r="P13" s="51" t="s">
        <v>139</v>
      </c>
      <c r="Q13" s="51" t="s">
        <v>145</v>
      </c>
      <c r="R13" s="51" t="s">
        <v>134</v>
      </c>
      <c r="S13" s="71" t="s">
        <v>371</v>
      </c>
      <c r="V13" s="4"/>
      <c r="W13" s="4"/>
      <c r="X13" s="4"/>
      <c r="Y13" s="4"/>
      <c r="Z13" s="4"/>
      <c r="AA13" s="4"/>
      <c r="AB13" s="4"/>
      <c r="AC13" s="4"/>
      <c r="AD13" s="4"/>
      <c r="AE13" s="4"/>
      <c r="AF13" s="4"/>
      <c r="AG13" s="4"/>
    </row>
    <row r="14" spans="1:33" s="2" customFormat="1" ht="18.75" customHeight="1">
      <c r="A14" s="6"/>
      <c r="B14" s="15" t="s">
        <v>7</v>
      </c>
      <c r="C14" s="23" t="s">
        <v>45</v>
      </c>
      <c r="D14" s="23" t="s">
        <v>45</v>
      </c>
      <c r="E14" s="23" t="s">
        <v>45</v>
      </c>
      <c r="F14" s="23" t="s">
        <v>45</v>
      </c>
      <c r="G14" s="23" t="s">
        <v>143</v>
      </c>
      <c r="H14" s="23" t="s">
        <v>738</v>
      </c>
      <c r="I14" s="23" t="s">
        <v>133</v>
      </c>
      <c r="J14" s="23" t="s">
        <v>56</v>
      </c>
      <c r="K14" s="52" t="s">
        <v>121</v>
      </c>
      <c r="L14" s="52" t="s">
        <v>121</v>
      </c>
      <c r="M14" s="52" t="s">
        <v>121</v>
      </c>
      <c r="N14" s="52" t="s">
        <v>121</v>
      </c>
      <c r="O14" s="52" t="s">
        <v>143</v>
      </c>
      <c r="P14" s="52" t="s">
        <v>133</v>
      </c>
      <c r="Q14" s="52" t="s">
        <v>148</v>
      </c>
      <c r="R14" s="52" t="s">
        <v>56</v>
      </c>
      <c r="S14" s="46" t="s">
        <v>56</v>
      </c>
      <c r="V14" s="6"/>
      <c r="W14" s="6"/>
      <c r="X14" s="6"/>
      <c r="Y14" s="6"/>
      <c r="Z14" s="6"/>
      <c r="AA14" s="6"/>
      <c r="AB14" s="6"/>
      <c r="AC14" s="6"/>
      <c r="AD14" s="6"/>
      <c r="AE14" s="6"/>
      <c r="AF14" s="6"/>
      <c r="AG14" s="6"/>
    </row>
    <row r="15" spans="1:33" s="2" customFormat="1" ht="18.75" customHeight="1" thickBot="1">
      <c r="B15" s="915" t="s">
        <v>441</v>
      </c>
      <c r="C15" s="1366" t="s">
        <v>1156</v>
      </c>
      <c r="D15" s="1080" t="s">
        <v>1119</v>
      </c>
      <c r="E15" s="1080" t="s">
        <v>1162</v>
      </c>
      <c r="F15" s="1080" t="s">
        <v>135</v>
      </c>
      <c r="G15" s="1367">
        <v>13.5</v>
      </c>
      <c r="H15" s="1367">
        <v>15000</v>
      </c>
      <c r="I15" s="1368">
        <f>IFERROR(H15/G15, "")</f>
        <v>1111.1111111111111</v>
      </c>
      <c r="J15" s="1368">
        <f>IF(F15="ガソリン", I15*'(参考)排出係数'!$F$6, IF(F15="軽油", I15*'(参考)排出係数'!$F$9, ""))</f>
        <v>2577.7777777777774</v>
      </c>
      <c r="K15" s="1080" t="s">
        <v>1159</v>
      </c>
      <c r="L15" s="1080" t="s">
        <v>1119</v>
      </c>
      <c r="M15" s="1080" t="s">
        <v>1160</v>
      </c>
      <c r="N15" s="1080" t="s">
        <v>135</v>
      </c>
      <c r="O15" s="1083">
        <v>15.5</v>
      </c>
      <c r="P15" s="1368">
        <f>IF(ISNUMBER(O15), (G15 * I15) / O15, "")</f>
        <v>967.74193548387098</v>
      </c>
      <c r="Q15" s="1368" t="str">
        <f>IF(N15="電気", (I15* G15) * $L$7, "")</f>
        <v/>
      </c>
      <c r="R15" s="1368">
        <f>IFERROR(IF(N15="ガソリン", P15*'(参考)排出係数'!$F$6, IF(N15="軽油", P15*'(参考)排出係数'!$F$9, IF(N15="電気", Q15*'(参考)排出係数'!$F$3, ""))), "")</f>
        <v>2245.1612903225805</v>
      </c>
      <c r="S15" s="1369">
        <f>IFERROR(J15 - R15, "")</f>
        <v>332.61648745519688</v>
      </c>
      <c r="V15" s="6"/>
      <c r="W15" s="6"/>
      <c r="X15" s="6"/>
      <c r="Y15" s="6"/>
      <c r="Z15" s="6"/>
      <c r="AA15" s="6"/>
      <c r="AB15" s="6"/>
      <c r="AC15" s="6"/>
      <c r="AD15" s="6"/>
      <c r="AE15" s="6"/>
      <c r="AF15" s="6"/>
      <c r="AG15" s="6"/>
    </row>
    <row r="16" spans="1:33" ht="18.75" customHeight="1" thickTop="1">
      <c r="A16" s="4"/>
      <c r="B16" s="916" t="s">
        <v>377</v>
      </c>
      <c r="C16" s="1048"/>
      <c r="D16" s="1048"/>
      <c r="E16" s="1048"/>
      <c r="F16" s="1048"/>
      <c r="G16" s="1059"/>
      <c r="H16" s="1059"/>
      <c r="I16" s="1060">
        <f>SUMIF($F$20:$F$39,"ガソリン",$I$20:$I$39)</f>
        <v>0</v>
      </c>
      <c r="J16" s="1060">
        <f>I16*'(参考)排出係数'!$F$6</f>
        <v>0</v>
      </c>
      <c r="K16" s="1049"/>
      <c r="L16" s="1048"/>
      <c r="M16" s="1048"/>
      <c r="N16" s="1048"/>
      <c r="O16" s="1059"/>
      <c r="P16" s="1060">
        <f>SUMIF($N$20:$N$39,"ガソリン",$P$20:$P$39)</f>
        <v>0</v>
      </c>
      <c r="Q16" s="1059"/>
      <c r="R16" s="1060">
        <f>P16*'(参考)排出係数'!$F$6</f>
        <v>0</v>
      </c>
      <c r="S16" s="1071">
        <f>J16-R16</f>
        <v>0</v>
      </c>
      <c r="V16" s="4"/>
      <c r="W16" s="4"/>
      <c r="X16" s="4"/>
      <c r="Y16" s="4"/>
      <c r="Z16" s="4"/>
      <c r="AA16" s="4"/>
      <c r="AB16" s="4"/>
      <c r="AC16" s="4"/>
      <c r="AD16" s="4"/>
      <c r="AE16" s="4"/>
      <c r="AF16" s="4"/>
      <c r="AG16" s="4"/>
    </row>
    <row r="17" spans="1:33" ht="18.75" customHeight="1">
      <c r="A17" s="4"/>
      <c r="B17" s="917" t="s">
        <v>378</v>
      </c>
      <c r="C17" s="1050"/>
      <c r="D17" s="1050"/>
      <c r="E17" s="1050"/>
      <c r="F17" s="1050"/>
      <c r="G17" s="1061"/>
      <c r="H17" s="1061"/>
      <c r="I17" s="1062">
        <f>SUMIF($F$20:$F$39,"軽油",$I$20:$I$39)</f>
        <v>0</v>
      </c>
      <c r="J17" s="1062">
        <f>I17*'(参考)排出係数'!$F$9</f>
        <v>0</v>
      </c>
      <c r="K17" s="1051"/>
      <c r="L17" s="1050"/>
      <c r="M17" s="1050"/>
      <c r="N17" s="1050"/>
      <c r="O17" s="1061"/>
      <c r="P17" s="1062">
        <f>SUMIF($N$20:$N$39,"軽油",$P$20:$P$39)</f>
        <v>0</v>
      </c>
      <c r="Q17" s="1061"/>
      <c r="R17" s="1062">
        <f>P17*'(参考)排出係数'!$F$9</f>
        <v>0</v>
      </c>
      <c r="S17" s="1072">
        <f>J17-R17</f>
        <v>0</v>
      </c>
      <c r="V17" s="4"/>
      <c r="W17" s="4"/>
      <c r="X17" s="4"/>
      <c r="Y17" s="4"/>
      <c r="Z17" s="4"/>
      <c r="AA17" s="4"/>
      <c r="AB17" s="4"/>
      <c r="AC17" s="4"/>
      <c r="AD17" s="4"/>
      <c r="AE17" s="4"/>
      <c r="AF17" s="4"/>
      <c r="AG17" s="4"/>
    </row>
    <row r="18" spans="1:33" ht="18.75" customHeight="1">
      <c r="A18" s="4"/>
      <c r="B18" s="917" t="s">
        <v>379</v>
      </c>
      <c r="C18" s="1050"/>
      <c r="D18" s="1050"/>
      <c r="E18" s="1050"/>
      <c r="F18" s="1050"/>
      <c r="G18" s="1061"/>
      <c r="H18" s="1061"/>
      <c r="I18" s="1061"/>
      <c r="J18" s="1061"/>
      <c r="K18" s="1051"/>
      <c r="L18" s="1050"/>
      <c r="M18" s="1050"/>
      <c r="N18" s="1050"/>
      <c r="O18" s="1061"/>
      <c r="P18" s="1061"/>
      <c r="Q18" s="1062">
        <f>SUMIF($N$20:$N$39,"電気",$Q$20:$Q$39)</f>
        <v>0</v>
      </c>
      <c r="R18" s="1062">
        <f>SUMIF($N$20:$N$39,"電気",$R$20:$R$39)</f>
        <v>0</v>
      </c>
      <c r="S18" s="1072">
        <f>J18-R18</f>
        <v>0</v>
      </c>
      <c r="V18" s="4"/>
      <c r="W18" s="4"/>
      <c r="X18" s="4"/>
      <c r="Y18" s="4"/>
      <c r="Z18" s="4"/>
      <c r="AA18" s="4"/>
      <c r="AB18" s="4"/>
      <c r="AC18" s="4"/>
      <c r="AD18" s="4"/>
      <c r="AE18" s="4"/>
      <c r="AF18" s="4"/>
      <c r="AG18" s="4"/>
    </row>
    <row r="19" spans="1:33" ht="18.75" customHeight="1" thickBot="1">
      <c r="A19" s="4"/>
      <c r="B19" s="918" t="s">
        <v>349</v>
      </c>
      <c r="C19" s="1052"/>
      <c r="D19" s="1052"/>
      <c r="E19" s="1052"/>
      <c r="F19" s="1052"/>
      <c r="G19" s="1063"/>
      <c r="H19" s="1063"/>
      <c r="I19" s="1064">
        <f>SUM(I16:I17)</f>
        <v>0</v>
      </c>
      <c r="J19" s="1064">
        <f>SUM(J16:J17)</f>
        <v>0</v>
      </c>
      <c r="K19" s="1052"/>
      <c r="L19" s="1052"/>
      <c r="M19" s="1052"/>
      <c r="N19" s="1052"/>
      <c r="O19" s="1063"/>
      <c r="P19" s="1064">
        <f>SUM(P20:P39)</f>
        <v>0</v>
      </c>
      <c r="Q19" s="1064">
        <f>SUM(Q20:Q39)</f>
        <v>0</v>
      </c>
      <c r="R19" s="1064">
        <f>SUM(R20:R39)</f>
        <v>0</v>
      </c>
      <c r="S19" s="1073">
        <f>SUM(S21:S39)</f>
        <v>0</v>
      </c>
      <c r="V19" s="4"/>
      <c r="W19" s="4"/>
      <c r="X19" s="4"/>
      <c r="Y19" s="4"/>
      <c r="Z19" s="4"/>
      <c r="AA19" s="4"/>
      <c r="AB19" s="4"/>
      <c r="AC19" s="4"/>
      <c r="AD19" s="4"/>
      <c r="AE19" s="4"/>
      <c r="AF19" s="4"/>
      <c r="AG19" s="4"/>
    </row>
    <row r="20" spans="1:33" ht="18.75" customHeight="1" thickTop="1">
      <c r="A20" s="4"/>
      <c r="B20" s="1033" t="s">
        <v>443</v>
      </c>
      <c r="C20" s="1053"/>
      <c r="D20" s="1054"/>
      <c r="E20" s="1054"/>
      <c r="F20" s="1055"/>
      <c r="G20" s="1065"/>
      <c r="H20" s="1065"/>
      <c r="I20" s="1066" t="str">
        <f>IFERROR(H20/G20, "")</f>
        <v/>
      </c>
      <c r="J20" s="1067" t="str">
        <f>IFERROR(IF(F20="ガソリン", I20*'(参考)排出係数'!$F$6, IF(F20="軽油", I20*'(参考)排出係数'!$F$9, "")), "")</f>
        <v/>
      </c>
      <c r="K20" s="1054"/>
      <c r="L20" s="1054"/>
      <c r="M20" s="1054"/>
      <c r="N20" s="1055"/>
      <c r="O20" s="1065"/>
      <c r="P20" s="1067" t="str">
        <f t="shared" ref="P20:P39" si="0">IFERROR(IF(ISNUMBER(O20), (G20 * I20) / O20, ""),"")</f>
        <v/>
      </c>
      <c r="Q20" s="1067" t="str">
        <f t="shared" ref="Q20:Q39" si="1">IF(N20="電気", (I20* G20) * $L$7, "")</f>
        <v/>
      </c>
      <c r="R20" s="1067" t="str">
        <f>IFERROR(IF(N20="ガソリン", P20*'(参考)排出係数'!$F$6, IF(N20="軽油", P20*'(参考)排出係数'!$F$9, IF(N20="電気", Q20*'(参考)排出係数'!$F$3, ""))), "")</f>
        <v/>
      </c>
      <c r="S20" s="1067" t="str">
        <f t="shared" ref="S20:S39" si="2">IFERROR(J20 - R20, "")</f>
        <v/>
      </c>
      <c r="V20" s="4"/>
      <c r="W20" s="4"/>
      <c r="X20" s="4"/>
      <c r="Y20" s="4"/>
      <c r="Z20" s="4"/>
      <c r="AA20" s="4"/>
      <c r="AB20" s="4"/>
      <c r="AC20" s="4"/>
      <c r="AD20" s="4"/>
      <c r="AE20" s="4"/>
      <c r="AF20" s="4"/>
      <c r="AG20" s="4"/>
    </row>
    <row r="21" spans="1:33" ht="18.75" customHeight="1">
      <c r="A21" s="4"/>
      <c r="B21" s="1034" t="s">
        <v>444</v>
      </c>
      <c r="C21" s="1056"/>
      <c r="D21" s="1056"/>
      <c r="E21" s="1056"/>
      <c r="F21" s="1057"/>
      <c r="G21" s="1068"/>
      <c r="H21" s="1068"/>
      <c r="I21" s="1069" t="str">
        <f t="shared" ref="I21:I39" si="3">IFERROR(H21/G21, "")</f>
        <v/>
      </c>
      <c r="J21" s="1067" t="str">
        <f>IFERROR(IF(F21="ガソリン", I21*'(参考)排出係数'!$F$6, IF(F21="軽油", I21*'(参考)排出係数'!$F$9, "")), "")</f>
        <v/>
      </c>
      <c r="K21" s="1056"/>
      <c r="L21" s="1056"/>
      <c r="M21" s="1056"/>
      <c r="N21" s="1057"/>
      <c r="O21" s="1068"/>
      <c r="P21" s="1067" t="str">
        <f t="shared" si="0"/>
        <v/>
      </c>
      <c r="Q21" s="1070" t="str">
        <f t="shared" si="1"/>
        <v/>
      </c>
      <c r="R21" s="1070" t="str">
        <f>IFERROR(IF(N21="ガソリン", P21*'(参考)排出係数'!$F$6, IF(N21="軽油", P21*'(参考)排出係数'!$F$9, IF(N21="電気", Q21*'(参考)排出係数'!$F$3, ""))), "")</f>
        <v/>
      </c>
      <c r="S21" s="1070" t="str">
        <f t="shared" si="2"/>
        <v/>
      </c>
      <c r="V21" s="4"/>
      <c r="W21" s="4"/>
      <c r="X21" s="4"/>
      <c r="Y21" s="4"/>
      <c r="Z21" s="4"/>
      <c r="AA21" s="4"/>
      <c r="AB21" s="4"/>
      <c r="AC21" s="4"/>
      <c r="AD21" s="4"/>
      <c r="AE21" s="4"/>
      <c r="AF21" s="4"/>
      <c r="AG21" s="4"/>
    </row>
    <row r="22" spans="1:33" ht="18.75" customHeight="1">
      <c r="A22" s="4"/>
      <c r="B22" s="1034" t="s">
        <v>445</v>
      </c>
      <c r="C22" s="1056"/>
      <c r="D22" s="1056"/>
      <c r="E22" s="1056"/>
      <c r="F22" s="1057"/>
      <c r="G22" s="1068"/>
      <c r="H22" s="1068"/>
      <c r="I22" s="1069" t="str">
        <f t="shared" si="3"/>
        <v/>
      </c>
      <c r="J22" s="1067" t="str">
        <f>IFERROR(IF(F22="ガソリン", I22*'(参考)排出係数'!$F$6, IF(F22="軽油", I22*'(参考)排出係数'!$F$9, "")), "")</f>
        <v/>
      </c>
      <c r="K22" s="1058"/>
      <c r="L22" s="1056"/>
      <c r="M22" s="1056"/>
      <c r="N22" s="1057"/>
      <c r="O22" s="1068"/>
      <c r="P22" s="1067" t="str">
        <f t="shared" si="0"/>
        <v/>
      </c>
      <c r="Q22" s="1070" t="str">
        <f t="shared" si="1"/>
        <v/>
      </c>
      <c r="R22" s="1070" t="str">
        <f>IFERROR(IF(N22="ガソリン", P22*'(参考)排出係数'!$F$6, IF(N22="軽油", P22*'(参考)排出係数'!$F$9, IF(N22="電気", Q22*'(参考)排出係数'!$F$3, ""))), "")</f>
        <v/>
      </c>
      <c r="S22" s="1070" t="str">
        <f t="shared" si="2"/>
        <v/>
      </c>
      <c r="V22" s="4"/>
      <c r="W22" s="4"/>
      <c r="X22" s="4"/>
      <c r="Y22" s="4"/>
      <c r="Z22" s="4"/>
      <c r="AA22" s="4"/>
      <c r="AB22" s="4"/>
      <c r="AC22" s="4"/>
      <c r="AD22" s="4"/>
      <c r="AE22" s="4"/>
      <c r="AF22" s="4"/>
      <c r="AG22" s="4"/>
    </row>
    <row r="23" spans="1:33" ht="18.75" customHeight="1">
      <c r="A23" s="4"/>
      <c r="B23" s="1034" t="s">
        <v>446</v>
      </c>
      <c r="C23" s="1056"/>
      <c r="D23" s="1056"/>
      <c r="E23" s="1056"/>
      <c r="F23" s="1057"/>
      <c r="G23" s="1068"/>
      <c r="H23" s="1068"/>
      <c r="I23" s="1069" t="str">
        <f t="shared" si="3"/>
        <v/>
      </c>
      <c r="J23" s="1067" t="str">
        <f>IFERROR(IF(F23="ガソリン", I23*'(参考)排出係数'!$F$6, IF(F23="軽油", I23*'(参考)排出係数'!$F$9, "")), "")</f>
        <v/>
      </c>
      <c r="K23" s="1058"/>
      <c r="L23" s="1056"/>
      <c r="M23" s="1056"/>
      <c r="N23" s="1057"/>
      <c r="O23" s="1068"/>
      <c r="P23" s="1067" t="str">
        <f t="shared" si="0"/>
        <v/>
      </c>
      <c r="Q23" s="1070" t="str">
        <f t="shared" si="1"/>
        <v/>
      </c>
      <c r="R23" s="1070" t="str">
        <f>IFERROR(IF(N23="ガソリン", P23*'(参考)排出係数'!$F$6, IF(N23="軽油", P23*'(参考)排出係数'!$F$9, IF(N23="電気", Q23*'(参考)排出係数'!$F$3, ""))), "")</f>
        <v/>
      </c>
      <c r="S23" s="1070" t="str">
        <f t="shared" si="2"/>
        <v/>
      </c>
      <c r="V23" s="4"/>
      <c r="W23" s="4"/>
      <c r="X23" s="4"/>
      <c r="Y23" s="4"/>
      <c r="Z23" s="4"/>
      <c r="AA23" s="4"/>
      <c r="AB23" s="4"/>
      <c r="AC23" s="4"/>
      <c r="AD23" s="4"/>
      <c r="AE23" s="4"/>
      <c r="AF23" s="4"/>
      <c r="AG23" s="4"/>
    </row>
    <row r="24" spans="1:33" ht="18.75" customHeight="1">
      <c r="A24" s="4"/>
      <c r="B24" s="1034" t="s">
        <v>447</v>
      </c>
      <c r="C24" s="1056"/>
      <c r="D24" s="1056"/>
      <c r="E24" s="1056"/>
      <c r="F24" s="1057"/>
      <c r="G24" s="1068"/>
      <c r="H24" s="1068"/>
      <c r="I24" s="1069" t="str">
        <f t="shared" si="3"/>
        <v/>
      </c>
      <c r="J24" s="1067" t="str">
        <f>IFERROR(IF(F24="ガソリン", I24*'(参考)排出係数'!$F$6, IF(F24="軽油", I24*'(参考)排出係数'!$F$9, "")), "")</f>
        <v/>
      </c>
      <c r="K24" s="1058"/>
      <c r="L24" s="1056"/>
      <c r="M24" s="1056"/>
      <c r="N24" s="1057"/>
      <c r="O24" s="1068"/>
      <c r="P24" s="1067" t="str">
        <f t="shared" si="0"/>
        <v/>
      </c>
      <c r="Q24" s="1070" t="str">
        <f t="shared" si="1"/>
        <v/>
      </c>
      <c r="R24" s="1070" t="str">
        <f>IFERROR(IF(N24="ガソリン", P24*'(参考)排出係数'!$F$6, IF(N24="軽油", P24*'(参考)排出係数'!$F$9, IF(N24="電気", Q24*'(参考)排出係数'!$F$3, ""))), "")</f>
        <v/>
      </c>
      <c r="S24" s="1070" t="str">
        <f t="shared" si="2"/>
        <v/>
      </c>
      <c r="V24" s="4"/>
      <c r="W24" s="4"/>
      <c r="X24" s="4"/>
      <c r="Y24" s="4"/>
      <c r="Z24" s="4"/>
      <c r="AA24" s="4"/>
      <c r="AB24" s="4"/>
      <c r="AC24" s="4"/>
      <c r="AD24" s="4"/>
      <c r="AE24" s="4"/>
      <c r="AF24" s="4"/>
      <c r="AG24" s="4"/>
    </row>
    <row r="25" spans="1:33" ht="18.75" customHeight="1">
      <c r="A25" s="4"/>
      <c r="B25" s="1034" t="s">
        <v>448</v>
      </c>
      <c r="C25" s="1056"/>
      <c r="D25" s="1056"/>
      <c r="E25" s="1056"/>
      <c r="F25" s="1057"/>
      <c r="G25" s="1068"/>
      <c r="H25" s="1068"/>
      <c r="I25" s="1069" t="str">
        <f t="shared" si="3"/>
        <v/>
      </c>
      <c r="J25" s="1067" t="str">
        <f>IFERROR(IF(F25="ガソリン", I25*'(参考)排出係数'!$F$6, IF(F25="軽油", I25*'(参考)排出係数'!$F$9, "")), "")</f>
        <v/>
      </c>
      <c r="K25" s="1058"/>
      <c r="L25" s="1056"/>
      <c r="M25" s="1056"/>
      <c r="N25" s="1057"/>
      <c r="O25" s="1068"/>
      <c r="P25" s="1067" t="str">
        <f t="shared" si="0"/>
        <v/>
      </c>
      <c r="Q25" s="1070" t="str">
        <f t="shared" si="1"/>
        <v/>
      </c>
      <c r="R25" s="1070" t="str">
        <f>IFERROR(IF(N25="ガソリン", P25*'(参考)排出係数'!$F$6, IF(N25="軽油", P25*'(参考)排出係数'!$F$9, IF(N25="電気", Q25*'(参考)排出係数'!$F$3, ""))), "")</f>
        <v/>
      </c>
      <c r="S25" s="1070" t="str">
        <f t="shared" si="2"/>
        <v/>
      </c>
      <c r="V25" s="4"/>
      <c r="W25" s="4"/>
      <c r="X25" s="4"/>
      <c r="Y25" s="4"/>
      <c r="Z25" s="4"/>
      <c r="AA25" s="4"/>
      <c r="AB25" s="4"/>
      <c r="AC25" s="4"/>
      <c r="AD25" s="4"/>
      <c r="AE25" s="4"/>
      <c r="AF25" s="4"/>
      <c r="AG25" s="4"/>
    </row>
    <row r="26" spans="1:33" ht="18.75" customHeight="1">
      <c r="A26" s="4"/>
      <c r="B26" s="1034" t="s">
        <v>449</v>
      </c>
      <c r="C26" s="1056"/>
      <c r="D26" s="1056"/>
      <c r="E26" s="1056"/>
      <c r="F26" s="1057"/>
      <c r="G26" s="1068"/>
      <c r="H26" s="1068"/>
      <c r="I26" s="1069" t="str">
        <f t="shared" si="3"/>
        <v/>
      </c>
      <c r="J26" s="1067" t="str">
        <f>IFERROR(IF(F26="ガソリン", I26*'(参考)排出係数'!$F$6, IF(F26="軽油", I26*'(参考)排出係数'!$F$9, "")), "")</f>
        <v/>
      </c>
      <c r="K26" s="1058"/>
      <c r="L26" s="1056"/>
      <c r="M26" s="1056"/>
      <c r="N26" s="1057"/>
      <c r="O26" s="1068"/>
      <c r="P26" s="1067" t="str">
        <f t="shared" si="0"/>
        <v/>
      </c>
      <c r="Q26" s="1070" t="str">
        <f t="shared" si="1"/>
        <v/>
      </c>
      <c r="R26" s="1070" t="str">
        <f>IFERROR(IF(N26="ガソリン", P26*'(参考)排出係数'!$F$6, IF(N26="軽油", P26*'(参考)排出係数'!$F$9, IF(N26="電気", Q26*'(参考)排出係数'!$F$3, ""))), "")</f>
        <v/>
      </c>
      <c r="S26" s="1070" t="str">
        <f t="shared" si="2"/>
        <v/>
      </c>
      <c r="V26" s="4"/>
      <c r="W26" s="4"/>
      <c r="X26" s="4"/>
      <c r="Y26" s="4"/>
      <c r="Z26" s="4"/>
      <c r="AA26" s="4"/>
      <c r="AB26" s="4"/>
      <c r="AC26" s="4"/>
      <c r="AD26" s="4"/>
      <c r="AE26" s="4"/>
      <c r="AF26" s="4"/>
      <c r="AG26" s="4"/>
    </row>
    <row r="27" spans="1:33" ht="18.75" customHeight="1">
      <c r="A27" s="4"/>
      <c r="B27" s="1034" t="s">
        <v>450</v>
      </c>
      <c r="C27" s="1056"/>
      <c r="D27" s="1056"/>
      <c r="E27" s="1056"/>
      <c r="F27" s="1057"/>
      <c r="G27" s="1068"/>
      <c r="H27" s="1068"/>
      <c r="I27" s="1069" t="str">
        <f t="shared" si="3"/>
        <v/>
      </c>
      <c r="J27" s="1067" t="str">
        <f>IFERROR(IF(F27="ガソリン", I27*'(参考)排出係数'!$F$6, IF(F27="軽油", I27*'(参考)排出係数'!$F$9, "")), "")</f>
        <v/>
      </c>
      <c r="K27" s="1058"/>
      <c r="L27" s="1056"/>
      <c r="M27" s="1056"/>
      <c r="N27" s="1057"/>
      <c r="O27" s="1068"/>
      <c r="P27" s="1067" t="str">
        <f t="shared" si="0"/>
        <v/>
      </c>
      <c r="Q27" s="1070" t="str">
        <f t="shared" si="1"/>
        <v/>
      </c>
      <c r="R27" s="1070" t="str">
        <f>IFERROR(IF(N27="ガソリン", P27*'(参考)排出係数'!$F$6, IF(N27="軽油", P27*'(参考)排出係数'!$F$9, IF(N27="電気", Q27*'(参考)排出係数'!$F$3, ""))), "")</f>
        <v/>
      </c>
      <c r="S27" s="1070" t="str">
        <f t="shared" si="2"/>
        <v/>
      </c>
      <c r="V27" s="4"/>
      <c r="W27" s="4"/>
      <c r="X27" s="4"/>
      <c r="Y27" s="4"/>
      <c r="Z27" s="4"/>
      <c r="AA27" s="4"/>
      <c r="AB27" s="4"/>
      <c r="AC27" s="4"/>
      <c r="AD27" s="4"/>
      <c r="AE27" s="4"/>
      <c r="AF27" s="4"/>
      <c r="AG27" s="4"/>
    </row>
    <row r="28" spans="1:33" ht="18.75" customHeight="1">
      <c r="A28" s="4"/>
      <c r="B28" s="1034" t="s">
        <v>451</v>
      </c>
      <c r="C28" s="1056"/>
      <c r="D28" s="1056"/>
      <c r="E28" s="1056"/>
      <c r="F28" s="1057"/>
      <c r="G28" s="1068"/>
      <c r="H28" s="1068"/>
      <c r="I28" s="1069" t="str">
        <f t="shared" si="3"/>
        <v/>
      </c>
      <c r="J28" s="1067" t="str">
        <f>IFERROR(IF(F28="ガソリン", I28*'(参考)排出係数'!$F$6, IF(F28="軽油", I28*'(参考)排出係数'!$F$9, "")), "")</f>
        <v/>
      </c>
      <c r="K28" s="1058"/>
      <c r="L28" s="1056"/>
      <c r="M28" s="1056"/>
      <c r="N28" s="1057"/>
      <c r="O28" s="1068"/>
      <c r="P28" s="1067" t="str">
        <f t="shared" si="0"/>
        <v/>
      </c>
      <c r="Q28" s="1070" t="str">
        <f t="shared" si="1"/>
        <v/>
      </c>
      <c r="R28" s="1070" t="str">
        <f>IFERROR(IF(N28="ガソリン", P28*'(参考)排出係数'!$F$6, IF(N28="軽油", P28*'(参考)排出係数'!$F$9, IF(N28="電気", Q28*'(参考)排出係数'!$F$3, ""))), "")</f>
        <v/>
      </c>
      <c r="S28" s="1070" t="str">
        <f t="shared" si="2"/>
        <v/>
      </c>
      <c r="V28" s="4"/>
      <c r="W28" s="4"/>
      <c r="X28" s="4"/>
      <c r="Y28" s="4"/>
      <c r="Z28" s="4"/>
      <c r="AA28" s="4"/>
      <c r="AB28" s="4"/>
      <c r="AC28" s="4"/>
      <c r="AD28" s="4"/>
      <c r="AE28" s="4"/>
      <c r="AF28" s="4"/>
      <c r="AG28" s="4"/>
    </row>
    <row r="29" spans="1:33" ht="18.75" customHeight="1">
      <c r="A29" s="4"/>
      <c r="B29" s="1034" t="s">
        <v>452</v>
      </c>
      <c r="C29" s="1056"/>
      <c r="D29" s="1056"/>
      <c r="E29" s="1056"/>
      <c r="F29" s="1057"/>
      <c r="G29" s="1068"/>
      <c r="H29" s="1068"/>
      <c r="I29" s="1069" t="str">
        <f t="shared" si="3"/>
        <v/>
      </c>
      <c r="J29" s="1067" t="str">
        <f>IFERROR(IF(F29="ガソリン", I29*'(参考)排出係数'!$F$6, IF(F29="軽油", I29*'(参考)排出係数'!$F$9, "")), "")</f>
        <v/>
      </c>
      <c r="K29" s="1058"/>
      <c r="L29" s="1056"/>
      <c r="M29" s="1056"/>
      <c r="N29" s="1057"/>
      <c r="O29" s="1068"/>
      <c r="P29" s="1067" t="str">
        <f t="shared" si="0"/>
        <v/>
      </c>
      <c r="Q29" s="1070" t="str">
        <f t="shared" si="1"/>
        <v/>
      </c>
      <c r="R29" s="1070" t="str">
        <f>IFERROR(IF(N29="ガソリン", P29*'(参考)排出係数'!$F$6, IF(N29="軽油", P29*'(参考)排出係数'!$F$9, IF(N29="電気", Q29*'(参考)排出係数'!$F$3, ""))), "")</f>
        <v/>
      </c>
      <c r="S29" s="1070" t="str">
        <f t="shared" si="2"/>
        <v/>
      </c>
      <c r="V29" s="4"/>
      <c r="W29" s="4"/>
      <c r="X29" s="4"/>
      <c r="Y29" s="4"/>
      <c r="Z29" s="4"/>
      <c r="AA29" s="4"/>
      <c r="AB29" s="4"/>
      <c r="AC29" s="4"/>
      <c r="AD29" s="4"/>
      <c r="AE29" s="4"/>
      <c r="AF29" s="4"/>
      <c r="AG29" s="4"/>
    </row>
    <row r="30" spans="1:33" ht="18.75" customHeight="1">
      <c r="A30" s="4"/>
      <c r="B30" s="1034" t="s">
        <v>453</v>
      </c>
      <c r="C30" s="1056"/>
      <c r="D30" s="1056"/>
      <c r="E30" s="1056"/>
      <c r="F30" s="1057"/>
      <c r="G30" s="1068"/>
      <c r="H30" s="1068"/>
      <c r="I30" s="1069" t="str">
        <f t="shared" si="3"/>
        <v/>
      </c>
      <c r="J30" s="1067" t="str">
        <f>IFERROR(IF(F30="ガソリン", I30*'(参考)排出係数'!$F$6, IF(F30="軽油", I30*'(参考)排出係数'!$F$9, "")), "")</f>
        <v/>
      </c>
      <c r="K30" s="1058"/>
      <c r="L30" s="1056"/>
      <c r="M30" s="1056"/>
      <c r="N30" s="1057"/>
      <c r="O30" s="1068"/>
      <c r="P30" s="1067" t="str">
        <f t="shared" si="0"/>
        <v/>
      </c>
      <c r="Q30" s="1070" t="str">
        <f t="shared" si="1"/>
        <v/>
      </c>
      <c r="R30" s="1070" t="str">
        <f>IFERROR(IF(N30="ガソリン", P30*'(参考)排出係数'!$F$6, IF(N30="軽油", P30*'(参考)排出係数'!$F$9, IF(N30="電気", Q30*'(参考)排出係数'!$F$3, ""))), "")</f>
        <v/>
      </c>
      <c r="S30" s="1070" t="str">
        <f t="shared" si="2"/>
        <v/>
      </c>
      <c r="V30" s="4"/>
      <c r="W30" s="4"/>
      <c r="X30" s="4"/>
      <c r="Y30" s="4"/>
      <c r="Z30" s="4"/>
      <c r="AA30" s="4"/>
      <c r="AB30" s="4"/>
      <c r="AC30" s="4"/>
      <c r="AD30" s="4"/>
      <c r="AE30" s="4"/>
      <c r="AF30" s="4"/>
      <c r="AG30" s="4"/>
    </row>
    <row r="31" spans="1:33" ht="18.75" customHeight="1">
      <c r="A31" s="4"/>
      <c r="B31" s="1034" t="s">
        <v>454</v>
      </c>
      <c r="C31" s="1056"/>
      <c r="D31" s="1056"/>
      <c r="E31" s="1056"/>
      <c r="F31" s="1057"/>
      <c r="G31" s="1068"/>
      <c r="H31" s="1068"/>
      <c r="I31" s="1069" t="str">
        <f t="shared" si="3"/>
        <v/>
      </c>
      <c r="J31" s="1067" t="str">
        <f>IFERROR(IF(F31="ガソリン", I31*'(参考)排出係数'!$F$6, IF(F31="軽油", I31*'(参考)排出係数'!$F$9, "")), "")</f>
        <v/>
      </c>
      <c r="K31" s="1058"/>
      <c r="L31" s="1056"/>
      <c r="M31" s="1056"/>
      <c r="N31" s="1057"/>
      <c r="O31" s="1068"/>
      <c r="P31" s="1067" t="str">
        <f t="shared" si="0"/>
        <v/>
      </c>
      <c r="Q31" s="1070" t="str">
        <f t="shared" si="1"/>
        <v/>
      </c>
      <c r="R31" s="1070" t="str">
        <f>IFERROR(IF(N31="ガソリン", P31*'(参考)排出係数'!$F$6, IF(N31="軽油", P31*'(参考)排出係数'!$F$9, IF(N31="電気", Q31*'(参考)排出係数'!$F$3, ""))), "")</f>
        <v/>
      </c>
      <c r="S31" s="1070" t="str">
        <f t="shared" si="2"/>
        <v/>
      </c>
      <c r="V31" s="4"/>
      <c r="W31" s="4"/>
      <c r="X31" s="4"/>
      <c r="Y31" s="4"/>
      <c r="Z31" s="4"/>
      <c r="AA31" s="4"/>
      <c r="AB31" s="4"/>
      <c r="AC31" s="4"/>
      <c r="AD31" s="4"/>
      <c r="AE31" s="4"/>
      <c r="AF31" s="4"/>
      <c r="AG31" s="4"/>
    </row>
    <row r="32" spans="1:33" ht="18.75" customHeight="1">
      <c r="A32" s="4"/>
      <c r="B32" s="1034" t="s">
        <v>455</v>
      </c>
      <c r="C32" s="1056"/>
      <c r="D32" s="1056"/>
      <c r="E32" s="1056"/>
      <c r="F32" s="1057"/>
      <c r="G32" s="1068"/>
      <c r="H32" s="1068"/>
      <c r="I32" s="1069" t="str">
        <f t="shared" si="3"/>
        <v/>
      </c>
      <c r="J32" s="1067" t="str">
        <f>IFERROR(IF(F32="ガソリン", I32*'(参考)排出係数'!$F$6, IF(F32="軽油", I32*'(参考)排出係数'!$F$9, "")), "")</f>
        <v/>
      </c>
      <c r="K32" s="1058"/>
      <c r="L32" s="1056"/>
      <c r="M32" s="1056"/>
      <c r="N32" s="1057"/>
      <c r="O32" s="1068"/>
      <c r="P32" s="1067" t="str">
        <f t="shared" si="0"/>
        <v/>
      </c>
      <c r="Q32" s="1070" t="str">
        <f t="shared" si="1"/>
        <v/>
      </c>
      <c r="R32" s="1070" t="str">
        <f>IFERROR(IF(N32="ガソリン", P32*'(参考)排出係数'!$F$6, IF(N32="軽油", P32*'(参考)排出係数'!$F$9, IF(N32="電気", Q32*'(参考)排出係数'!$F$3, ""))), "")</f>
        <v/>
      </c>
      <c r="S32" s="1070" t="str">
        <f t="shared" si="2"/>
        <v/>
      </c>
      <c r="V32" s="4"/>
      <c r="W32" s="4"/>
      <c r="X32" s="4"/>
      <c r="Y32" s="4"/>
      <c r="Z32" s="4"/>
      <c r="AA32" s="4"/>
      <c r="AB32" s="4"/>
      <c r="AC32" s="4"/>
      <c r="AD32" s="4"/>
      <c r="AE32" s="4"/>
      <c r="AF32" s="4"/>
      <c r="AG32" s="4"/>
    </row>
    <row r="33" spans="1:33" ht="18.75" customHeight="1">
      <c r="A33" s="4"/>
      <c r="B33" s="1034" t="s">
        <v>456</v>
      </c>
      <c r="C33" s="1056"/>
      <c r="D33" s="1056"/>
      <c r="E33" s="1056"/>
      <c r="F33" s="1057"/>
      <c r="G33" s="1068"/>
      <c r="H33" s="1068"/>
      <c r="I33" s="1069" t="str">
        <f t="shared" si="3"/>
        <v/>
      </c>
      <c r="J33" s="1067" t="str">
        <f>IFERROR(IF(F33="ガソリン", I33*'(参考)排出係数'!$F$6, IF(F33="軽油", I33*'(参考)排出係数'!$F$9, "")), "")</f>
        <v/>
      </c>
      <c r="K33" s="1058"/>
      <c r="L33" s="1056"/>
      <c r="M33" s="1056"/>
      <c r="N33" s="1057"/>
      <c r="O33" s="1068"/>
      <c r="P33" s="1067" t="str">
        <f t="shared" si="0"/>
        <v/>
      </c>
      <c r="Q33" s="1070" t="str">
        <f t="shared" si="1"/>
        <v/>
      </c>
      <c r="R33" s="1070" t="str">
        <f>IFERROR(IF(N33="ガソリン", P33*'(参考)排出係数'!$F$6, IF(N33="軽油", P33*'(参考)排出係数'!$F$9, IF(N33="電気", Q33*'(参考)排出係数'!$F$3, ""))), "")</f>
        <v/>
      </c>
      <c r="S33" s="1070" t="str">
        <f t="shared" si="2"/>
        <v/>
      </c>
      <c r="V33" s="4"/>
      <c r="W33" s="4"/>
      <c r="X33" s="4"/>
      <c r="Y33" s="4"/>
      <c r="Z33" s="4"/>
      <c r="AA33" s="4"/>
      <c r="AB33" s="4"/>
      <c r="AC33" s="4"/>
      <c r="AD33" s="4"/>
      <c r="AE33" s="4"/>
      <c r="AF33" s="4"/>
      <c r="AG33" s="4"/>
    </row>
    <row r="34" spans="1:33" ht="18.75" customHeight="1">
      <c r="A34" s="4"/>
      <c r="B34" s="1034" t="s">
        <v>457</v>
      </c>
      <c r="C34" s="1056"/>
      <c r="D34" s="1056"/>
      <c r="E34" s="1056"/>
      <c r="F34" s="1057"/>
      <c r="G34" s="1068"/>
      <c r="H34" s="1068"/>
      <c r="I34" s="1069" t="str">
        <f t="shared" si="3"/>
        <v/>
      </c>
      <c r="J34" s="1067" t="str">
        <f>IFERROR(IF(F34="ガソリン", I34*'(参考)排出係数'!$F$6, IF(F34="軽油", I34*'(参考)排出係数'!$F$9, "")), "")</f>
        <v/>
      </c>
      <c r="K34" s="1058"/>
      <c r="L34" s="1056"/>
      <c r="M34" s="1056"/>
      <c r="N34" s="1057"/>
      <c r="O34" s="1068"/>
      <c r="P34" s="1067" t="str">
        <f t="shared" si="0"/>
        <v/>
      </c>
      <c r="Q34" s="1070" t="str">
        <f t="shared" si="1"/>
        <v/>
      </c>
      <c r="R34" s="1070" t="str">
        <f>IFERROR(IF(N34="ガソリン", P34*'(参考)排出係数'!$F$6, IF(N34="軽油", P34*'(参考)排出係数'!$F$9, IF(N34="電気", Q34*'(参考)排出係数'!$F$3, ""))), "")</f>
        <v/>
      </c>
      <c r="S34" s="1070" t="str">
        <f t="shared" si="2"/>
        <v/>
      </c>
      <c r="V34" s="4"/>
      <c r="W34" s="4"/>
      <c r="X34" s="4"/>
      <c r="Y34" s="4"/>
      <c r="Z34" s="4"/>
      <c r="AA34" s="4"/>
      <c r="AB34" s="4"/>
      <c r="AC34" s="4"/>
      <c r="AD34" s="4"/>
      <c r="AE34" s="4"/>
      <c r="AF34" s="4"/>
      <c r="AG34" s="4"/>
    </row>
    <row r="35" spans="1:33" ht="18.75" customHeight="1">
      <c r="A35" s="4"/>
      <c r="B35" s="1034" t="s">
        <v>458</v>
      </c>
      <c r="C35" s="1056"/>
      <c r="D35" s="1056"/>
      <c r="E35" s="1056"/>
      <c r="F35" s="1057"/>
      <c r="G35" s="1068"/>
      <c r="H35" s="1068"/>
      <c r="I35" s="1069" t="str">
        <f t="shared" si="3"/>
        <v/>
      </c>
      <c r="J35" s="1067" t="str">
        <f>IFERROR(IF(F35="ガソリン", I35*'(参考)排出係数'!$F$6, IF(F35="軽油", I35*'(参考)排出係数'!$F$9, "")), "")</f>
        <v/>
      </c>
      <c r="K35" s="1058"/>
      <c r="L35" s="1056"/>
      <c r="M35" s="1056"/>
      <c r="N35" s="1057"/>
      <c r="O35" s="1068"/>
      <c r="P35" s="1067" t="str">
        <f t="shared" si="0"/>
        <v/>
      </c>
      <c r="Q35" s="1070" t="str">
        <f t="shared" si="1"/>
        <v/>
      </c>
      <c r="R35" s="1070" t="str">
        <f>IFERROR(IF(N35="ガソリン", P35*'(参考)排出係数'!$F$6, IF(N35="軽油", P35*'(参考)排出係数'!$F$9, IF(N35="電気", Q35*'(参考)排出係数'!$F$3, ""))), "")</f>
        <v/>
      </c>
      <c r="S35" s="1070" t="str">
        <f t="shared" si="2"/>
        <v/>
      </c>
      <c r="V35" s="4"/>
      <c r="W35" s="4"/>
      <c r="X35" s="4"/>
      <c r="Y35" s="4"/>
      <c r="Z35" s="4"/>
      <c r="AA35" s="4"/>
      <c r="AB35" s="4"/>
      <c r="AC35" s="4"/>
      <c r="AD35" s="4"/>
      <c r="AE35" s="4"/>
      <c r="AF35" s="4"/>
      <c r="AG35" s="4"/>
    </row>
    <row r="36" spans="1:33" ht="18.75" customHeight="1">
      <c r="A36" s="4"/>
      <c r="B36" s="1034" t="s">
        <v>459</v>
      </c>
      <c r="C36" s="1056"/>
      <c r="D36" s="1056"/>
      <c r="E36" s="1056"/>
      <c r="F36" s="1057"/>
      <c r="G36" s="1068"/>
      <c r="H36" s="1068"/>
      <c r="I36" s="1069" t="str">
        <f t="shared" si="3"/>
        <v/>
      </c>
      <c r="J36" s="1067" t="str">
        <f>IFERROR(IF(F36="ガソリン", I36*'(参考)排出係数'!$F$6, IF(F36="軽油", I36*'(参考)排出係数'!$F$9, "")), "")</f>
        <v/>
      </c>
      <c r="K36" s="1058"/>
      <c r="L36" s="1056"/>
      <c r="M36" s="1056"/>
      <c r="N36" s="1057"/>
      <c r="O36" s="1068"/>
      <c r="P36" s="1067" t="str">
        <f t="shared" si="0"/>
        <v/>
      </c>
      <c r="Q36" s="1070" t="str">
        <f t="shared" si="1"/>
        <v/>
      </c>
      <c r="R36" s="1070" t="str">
        <f>IFERROR(IF(N36="ガソリン", P36*'(参考)排出係数'!$F$6, IF(N36="軽油", P36*'(参考)排出係数'!$F$9, IF(N36="電気", Q36*'(参考)排出係数'!$F$3, ""))), "")</f>
        <v/>
      </c>
      <c r="S36" s="1070" t="str">
        <f t="shared" si="2"/>
        <v/>
      </c>
      <c r="V36" s="4"/>
      <c r="W36" s="4"/>
      <c r="X36" s="4"/>
      <c r="Y36" s="4"/>
      <c r="Z36" s="4"/>
      <c r="AA36" s="4"/>
      <c r="AB36" s="4"/>
      <c r="AC36" s="4"/>
      <c r="AD36" s="4"/>
      <c r="AE36" s="4"/>
      <c r="AF36" s="4"/>
      <c r="AG36" s="4"/>
    </row>
    <row r="37" spans="1:33" ht="18.75" customHeight="1">
      <c r="A37" s="4"/>
      <c r="B37" s="1034" t="s">
        <v>460</v>
      </c>
      <c r="C37" s="1056"/>
      <c r="D37" s="1056"/>
      <c r="E37" s="1056"/>
      <c r="F37" s="1057"/>
      <c r="G37" s="1068"/>
      <c r="H37" s="1068"/>
      <c r="I37" s="1069" t="str">
        <f t="shared" si="3"/>
        <v/>
      </c>
      <c r="J37" s="1067" t="str">
        <f>IFERROR(IF(F37="ガソリン", I37*'(参考)排出係数'!$F$6, IF(F37="軽油", I37*'(参考)排出係数'!$F$9, "")), "")</f>
        <v/>
      </c>
      <c r="K37" s="1058"/>
      <c r="L37" s="1056"/>
      <c r="M37" s="1056"/>
      <c r="N37" s="1057"/>
      <c r="O37" s="1068"/>
      <c r="P37" s="1067" t="str">
        <f t="shared" si="0"/>
        <v/>
      </c>
      <c r="Q37" s="1070" t="str">
        <f t="shared" si="1"/>
        <v/>
      </c>
      <c r="R37" s="1070" t="str">
        <f>IFERROR(IF(N37="ガソリン", P37*'(参考)排出係数'!$F$6, IF(N37="軽油", P37*'(参考)排出係数'!$F$9, IF(N37="電気", Q37*'(参考)排出係数'!$F$3, ""))), "")</f>
        <v/>
      </c>
      <c r="S37" s="1070" t="str">
        <f t="shared" si="2"/>
        <v/>
      </c>
      <c r="V37" s="4"/>
      <c r="W37" s="4"/>
      <c r="X37" s="4"/>
      <c r="Y37" s="4"/>
      <c r="Z37" s="4"/>
      <c r="AA37" s="4"/>
      <c r="AB37" s="4"/>
      <c r="AC37" s="4"/>
      <c r="AD37" s="4"/>
      <c r="AE37" s="4"/>
      <c r="AF37" s="4"/>
      <c r="AG37" s="4"/>
    </row>
    <row r="38" spans="1:33" ht="18.75" customHeight="1">
      <c r="A38" s="4"/>
      <c r="B38" s="1034" t="s">
        <v>461</v>
      </c>
      <c r="C38" s="1056"/>
      <c r="D38" s="1056"/>
      <c r="E38" s="1056"/>
      <c r="F38" s="1057"/>
      <c r="G38" s="1068"/>
      <c r="H38" s="1068"/>
      <c r="I38" s="1069" t="str">
        <f t="shared" si="3"/>
        <v/>
      </c>
      <c r="J38" s="1067" t="str">
        <f>IFERROR(IF(F38="ガソリン", I38*'(参考)排出係数'!$F$6, IF(F38="軽油", I38*'(参考)排出係数'!$F$9, "")), "")</f>
        <v/>
      </c>
      <c r="K38" s="1058"/>
      <c r="L38" s="1056"/>
      <c r="M38" s="1056"/>
      <c r="N38" s="1057"/>
      <c r="O38" s="1068"/>
      <c r="P38" s="1067" t="str">
        <f t="shared" si="0"/>
        <v/>
      </c>
      <c r="Q38" s="1070" t="str">
        <f t="shared" si="1"/>
        <v/>
      </c>
      <c r="R38" s="1070" t="str">
        <f>IFERROR(IF(N38="ガソリン", P38*'(参考)排出係数'!$F$6, IF(N38="軽油", P38*'(参考)排出係数'!$F$9, IF(N38="電気", Q38*'(参考)排出係数'!$F$3, ""))), "")</f>
        <v/>
      </c>
      <c r="S38" s="1070" t="str">
        <f t="shared" si="2"/>
        <v/>
      </c>
      <c r="V38" s="4"/>
      <c r="W38" s="4"/>
      <c r="X38" s="4"/>
      <c r="Y38" s="4"/>
      <c r="Z38" s="4"/>
      <c r="AA38" s="4"/>
      <c r="AB38" s="4"/>
      <c r="AC38" s="4"/>
      <c r="AD38" s="4"/>
      <c r="AE38" s="4"/>
      <c r="AF38" s="4"/>
      <c r="AG38" s="4"/>
    </row>
    <row r="39" spans="1:33" ht="18.75" customHeight="1">
      <c r="A39" s="4"/>
      <c r="B39" s="1034" t="s">
        <v>462</v>
      </c>
      <c r="C39" s="1056"/>
      <c r="D39" s="1056"/>
      <c r="E39" s="1056"/>
      <c r="F39" s="1057"/>
      <c r="G39" s="1068"/>
      <c r="H39" s="1068"/>
      <c r="I39" s="1069" t="str">
        <f t="shared" si="3"/>
        <v/>
      </c>
      <c r="J39" s="1067" t="str">
        <f>IFERROR(IF(F39="ガソリン", I39*'(参考)排出係数'!$F$6, IF(F39="軽油", I39*'(参考)排出係数'!$F$9, "")), "")</f>
        <v/>
      </c>
      <c r="K39" s="1058"/>
      <c r="L39" s="1056"/>
      <c r="M39" s="1056"/>
      <c r="N39" s="1057"/>
      <c r="O39" s="1068"/>
      <c r="P39" s="1067" t="str">
        <f t="shared" si="0"/>
        <v/>
      </c>
      <c r="Q39" s="1070" t="str">
        <f t="shared" si="1"/>
        <v/>
      </c>
      <c r="R39" s="1070" t="str">
        <f>IFERROR(IF(N39="ガソリン", P39*'(参考)排出係数'!$F$6, IF(N39="軽油", P39*'(参考)排出係数'!$F$9, IF(N39="電気", Q39*'(参考)排出係数'!$F$3, ""))), "")</f>
        <v/>
      </c>
      <c r="S39" s="1070" t="str">
        <f t="shared" si="2"/>
        <v/>
      </c>
      <c r="V39" s="4"/>
      <c r="W39" s="4"/>
      <c r="X39" s="4"/>
      <c r="Y39" s="4"/>
      <c r="Z39" s="4"/>
      <c r="AA39" s="4"/>
      <c r="AB39" s="4"/>
      <c r="AC39" s="4"/>
      <c r="AD39" s="4"/>
      <c r="AE39" s="4"/>
      <c r="AF39" s="4"/>
      <c r="AG39" s="4"/>
    </row>
    <row r="40" spans="1:33" ht="18.75"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row>
    <row r="41" spans="1:33" ht="18.75" customHeight="1">
      <c r="A41" s="4"/>
      <c r="B41" s="4" t="s">
        <v>353</v>
      </c>
      <c r="C41" s="4"/>
      <c r="D41" s="176"/>
      <c r="E41" s="4"/>
      <c r="F41" s="4"/>
      <c r="G41" s="4"/>
      <c r="H41" s="4"/>
      <c r="I41" s="4"/>
      <c r="J41" s="4" t="s">
        <v>856</v>
      </c>
      <c r="K41" s="4"/>
      <c r="L41" s="4"/>
      <c r="M41" s="4"/>
      <c r="N41" s="4"/>
      <c r="O41" s="4"/>
      <c r="P41" s="4"/>
      <c r="Q41" s="4"/>
      <c r="R41" s="4"/>
      <c r="S41" s="4"/>
      <c r="T41" s="4"/>
      <c r="U41" s="4"/>
      <c r="V41" s="4"/>
      <c r="W41" s="4"/>
      <c r="X41" s="4"/>
      <c r="Y41" s="4"/>
      <c r="Z41" s="4"/>
      <c r="AA41" s="4"/>
      <c r="AB41" s="4"/>
      <c r="AC41" s="4"/>
      <c r="AD41" s="4"/>
      <c r="AE41" s="4"/>
      <c r="AF41" s="4"/>
    </row>
    <row r="42" spans="1:33" ht="18.75" customHeight="1">
      <c r="A42" s="4"/>
      <c r="B42" s="4" t="s">
        <v>372</v>
      </c>
      <c r="C42" s="4"/>
      <c r="D42" s="4"/>
      <c r="E42" s="4"/>
      <c r="F42" s="4"/>
      <c r="G42" s="4"/>
      <c r="H42" s="4"/>
      <c r="I42" s="4"/>
      <c r="J42" s="4" t="s">
        <v>352</v>
      </c>
      <c r="K42" s="4"/>
      <c r="L42" s="4"/>
      <c r="M42" s="4"/>
      <c r="N42" s="4"/>
      <c r="O42" s="4"/>
      <c r="P42" s="4"/>
      <c r="Q42" s="4"/>
      <c r="R42" s="4"/>
      <c r="S42" s="4"/>
      <c r="T42" s="4"/>
      <c r="U42" s="4"/>
      <c r="V42" s="4"/>
      <c r="W42" s="4"/>
      <c r="X42" s="4"/>
      <c r="Y42" s="4"/>
      <c r="Z42" s="4"/>
      <c r="AA42" s="4"/>
      <c r="AB42" s="4"/>
      <c r="AC42" s="4"/>
      <c r="AD42" s="4"/>
      <c r="AE42" s="4"/>
      <c r="AF42" s="4"/>
    </row>
    <row r="43" spans="1:33" ht="18.75" customHeight="1">
      <c r="A43" s="4"/>
      <c r="B43" s="4" t="s">
        <v>351</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row>
    <row r="44" spans="1:33" ht="18.75" customHeight="1">
      <c r="A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row>
    <row r="45" spans="1:33" ht="18.75" customHeight="1">
      <c r="A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row>
    <row r="46" spans="1:33" ht="18.75"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1:33" ht="18.7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row>
  </sheetData>
  <protectedRanges>
    <protectedRange sqref="L7:L9 C20:H39 K20:O39" name="範囲1"/>
  </protectedRanges>
  <mergeCells count="11">
    <mergeCell ref="P9:R9"/>
    <mergeCell ref="K7:K9"/>
    <mergeCell ref="L7:L9"/>
    <mergeCell ref="S9:U9"/>
    <mergeCell ref="P5:R6"/>
    <mergeCell ref="N5:N6"/>
    <mergeCell ref="P7:R7"/>
    <mergeCell ref="P8:R8"/>
    <mergeCell ref="S5:U6"/>
    <mergeCell ref="S7:U7"/>
    <mergeCell ref="S8:U8"/>
  </mergeCells>
  <phoneticPr fontId="2"/>
  <conditionalFormatting sqref="O15:P15 O16:O18 S16:S19 P19:Q19 O20:P39">
    <cfRule type="expression" dxfId="64" priority="55">
      <formula>$N15="電気"</formula>
    </cfRule>
  </conditionalFormatting>
  <conditionalFormatting sqref="Q20:Q39">
    <cfRule type="expression" dxfId="63" priority="60">
      <formula>$N20="ガソリン"</formula>
    </cfRule>
  </conditionalFormatting>
  <dataValidations count="2">
    <dataValidation type="list" allowBlank="1" showInputMessage="1" showErrorMessage="1" sqref="F15:F39" xr:uid="{5713F894-E5CD-47B0-A95F-B9DB2A6B0399}">
      <formula1>"ガソリン,軽油"</formula1>
    </dataValidation>
    <dataValidation type="list" allowBlank="1" showInputMessage="1" showErrorMessage="1" sqref="N20:N39 N15:N18" xr:uid="{C3ACEA8E-9D63-42E1-BB6C-48A5197E439E}">
      <formula1>"ガソリン,軽油,電気"</formula1>
    </dataValidation>
  </dataValidations>
  <pageMargins left="0.70866141732283472" right="0.70866141732283472" top="0.74803149606299213" bottom="0.74803149606299213" header="0.31496062992125984" footer="0.31496062992125984"/>
  <pageSetup paperSize="8" scale="81"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C022-B285-416D-9520-1DE298AA2133}">
  <sheetPr codeName="Sheet7">
    <pageSetUpPr fitToPage="1"/>
  </sheetPr>
  <dimension ref="A1:W41"/>
  <sheetViews>
    <sheetView zoomScaleNormal="100" zoomScaleSheetLayoutView="100" workbookViewId="0">
      <pane ySplit="1" topLeftCell="A2" activePane="bottomLeft" state="frozen"/>
      <selection pane="bottomLeft" activeCell="A2" sqref="A2"/>
    </sheetView>
  </sheetViews>
  <sheetFormatPr defaultColWidth="10.58203125" defaultRowHeight="18.75" customHeight="1"/>
  <cols>
    <col min="1" max="1" width="3.58203125" style="1" customWidth="1"/>
    <col min="2" max="2" width="7.58203125" style="1" customWidth="1"/>
    <col min="3" max="7" width="10.58203125" style="1" customWidth="1"/>
    <col min="8" max="9" width="5.58203125" style="1" customWidth="1"/>
    <col min="10" max="15" width="10.58203125" style="1" customWidth="1"/>
    <col min="16" max="17" width="5.58203125" style="1" customWidth="1"/>
    <col min="18" max="22" width="10.58203125" style="1" customWidth="1"/>
    <col min="23" max="16384" width="10.58203125" style="1"/>
  </cols>
  <sheetData>
    <row r="1" spans="1:23" ht="30" customHeight="1">
      <c r="A1" s="107" t="s">
        <v>176</v>
      </c>
      <c r="B1" s="4"/>
      <c r="C1" s="4"/>
      <c r="D1" s="4"/>
      <c r="E1" s="4"/>
      <c r="F1" s="4"/>
      <c r="G1" s="4"/>
      <c r="H1" s="4"/>
      <c r="I1" s="4"/>
      <c r="J1" s="4"/>
      <c r="K1" s="4"/>
      <c r="L1" s="4"/>
      <c r="M1" s="4"/>
      <c r="N1" s="4"/>
      <c r="O1" s="4"/>
      <c r="P1" s="4"/>
      <c r="Q1" s="4"/>
      <c r="R1" s="4"/>
      <c r="S1" s="4"/>
      <c r="T1" s="4"/>
      <c r="U1" s="4"/>
      <c r="V1" s="4"/>
      <c r="W1" s="4"/>
    </row>
    <row r="2" spans="1:23" ht="18.75" customHeight="1">
      <c r="A2" s="107"/>
      <c r="B2" s="4"/>
      <c r="C2" s="4"/>
      <c r="D2" s="4"/>
      <c r="E2" s="4"/>
      <c r="F2" s="4"/>
      <c r="G2" s="4"/>
      <c r="H2" s="4"/>
      <c r="I2" s="4"/>
      <c r="J2" s="4"/>
      <c r="K2" s="4"/>
      <c r="L2" s="4"/>
      <c r="M2" s="4"/>
      <c r="N2" s="4"/>
      <c r="O2" s="4"/>
      <c r="P2" s="4"/>
      <c r="Q2" s="4"/>
      <c r="R2" s="4"/>
      <c r="S2" s="4"/>
      <c r="T2" s="4"/>
      <c r="U2" s="4"/>
      <c r="V2" s="4"/>
      <c r="W2" s="4"/>
    </row>
    <row r="3" spans="1:23" ht="18.75" customHeight="1">
      <c r="A3" s="4"/>
      <c r="B3" s="4"/>
      <c r="C3" s="96" t="s">
        <v>68</v>
      </c>
      <c r="D3" s="97"/>
      <c r="E3" s="90" t="s">
        <v>70</v>
      </c>
      <c r="F3" s="90" t="s">
        <v>54</v>
      </c>
      <c r="G3" s="90" t="s">
        <v>74</v>
      </c>
      <c r="H3" s="84" t="s">
        <v>75</v>
      </c>
      <c r="I3" s="84"/>
      <c r="J3" s="90" t="s">
        <v>76</v>
      </c>
      <c r="K3" s="4"/>
      <c r="L3" s="96" t="s">
        <v>674</v>
      </c>
      <c r="M3" s="437"/>
      <c r="N3" s="437"/>
      <c r="O3" s="437"/>
      <c r="P3" s="437"/>
      <c r="Q3" s="437"/>
      <c r="R3" s="437"/>
      <c r="S3" s="437"/>
      <c r="T3" s="437"/>
      <c r="U3" s="97"/>
      <c r="V3" s="4"/>
      <c r="W3" s="4"/>
    </row>
    <row r="4" spans="1:23" ht="18.75" customHeight="1">
      <c r="A4" s="4"/>
      <c r="B4" s="4"/>
      <c r="C4" s="96" t="s">
        <v>69</v>
      </c>
      <c r="D4" s="97"/>
      <c r="E4" s="90" t="s">
        <v>73</v>
      </c>
      <c r="F4" s="894">
        <f>$K$15</f>
        <v>0</v>
      </c>
      <c r="G4" s="894">
        <f>$S$15</f>
        <v>0</v>
      </c>
      <c r="H4" s="1800">
        <f>F4-G4</f>
        <v>0</v>
      </c>
      <c r="I4" s="1801"/>
      <c r="J4" s="891">
        <f>IF(OR(F4=0,H4=0),0,H4/F4)</f>
        <v>0</v>
      </c>
      <c r="K4" s="4"/>
      <c r="L4" s="431"/>
      <c r="M4" s="432"/>
      <c r="N4" s="432"/>
      <c r="O4" s="432"/>
      <c r="P4" s="432"/>
      <c r="Q4" s="432"/>
      <c r="R4" s="432"/>
      <c r="S4" s="432"/>
      <c r="T4" s="432"/>
      <c r="U4" s="433"/>
      <c r="V4" s="4"/>
      <c r="W4" s="4"/>
    </row>
    <row r="5" spans="1:23" ht="18.75" customHeight="1">
      <c r="A5" s="4"/>
      <c r="B5" s="4"/>
      <c r="C5" s="96" t="s">
        <v>71</v>
      </c>
      <c r="D5" s="97"/>
      <c r="E5" s="90" t="s">
        <v>72</v>
      </c>
      <c r="F5" s="894">
        <f>$L$15</f>
        <v>0</v>
      </c>
      <c r="G5" s="894">
        <f>$T$15</f>
        <v>0</v>
      </c>
      <c r="H5" s="1800">
        <f>F5-G5</f>
        <v>0</v>
      </c>
      <c r="I5" s="1801"/>
      <c r="J5" s="891">
        <f>IF(OR(F5=0,H5=0),0,H5/F5)</f>
        <v>0</v>
      </c>
      <c r="K5" s="4"/>
      <c r="L5" s="4"/>
      <c r="M5" s="4"/>
      <c r="N5" s="4"/>
      <c r="O5" s="4"/>
      <c r="P5" s="4"/>
      <c r="Q5" s="4"/>
      <c r="R5" s="4"/>
      <c r="S5" s="4"/>
      <c r="T5" s="4"/>
      <c r="U5" s="4"/>
      <c r="V5" s="4"/>
      <c r="W5" s="4"/>
    </row>
    <row r="6" spans="1:23" ht="18.75" customHeight="1">
      <c r="A6" s="4"/>
      <c r="B6" s="4"/>
      <c r="C6" s="84" t="s">
        <v>157</v>
      </c>
      <c r="D6" s="84"/>
      <c r="E6" s="90" t="s">
        <v>158</v>
      </c>
      <c r="F6" s="894">
        <f>F4*【共通】事業所の光熱費!$H$6</f>
        <v>0</v>
      </c>
      <c r="G6" s="894">
        <f>G4*【共通】事業所の光熱費!$H$6</f>
        <v>0</v>
      </c>
      <c r="H6" s="1800">
        <f>F6-G6</f>
        <v>0</v>
      </c>
      <c r="I6" s="1801"/>
      <c r="J6" s="891">
        <f>IF(OR(F6=0,H6=0),0,H6/F6)</f>
        <v>0</v>
      </c>
      <c r="K6" s="4"/>
      <c r="L6" s="1703" t="s">
        <v>669</v>
      </c>
      <c r="M6" s="1719"/>
      <c r="N6" s="1719"/>
      <c r="O6" s="1719"/>
      <c r="P6" s="1719"/>
      <c r="Q6" s="1719"/>
      <c r="R6" s="1719"/>
      <c r="S6" s="1719"/>
      <c r="T6" s="1719"/>
      <c r="U6" s="1704"/>
      <c r="V6" s="4"/>
      <c r="W6" s="4"/>
    </row>
    <row r="7" spans="1:23" ht="18.75" customHeight="1">
      <c r="A7" s="4"/>
      <c r="B7" s="4"/>
      <c r="C7" s="84" t="s">
        <v>375</v>
      </c>
      <c r="D7" s="84"/>
      <c r="E7" s="46" t="s">
        <v>163</v>
      </c>
      <c r="F7" s="1076">
        <f>F4*'(参考)排出係数'!$C$3*0.0000258</f>
        <v>0</v>
      </c>
      <c r="G7" s="1076">
        <f>G4*'(参考)排出係数'!$C$3*0.0000258</f>
        <v>0</v>
      </c>
      <c r="H7" s="1802">
        <f>F7-G7</f>
        <v>0</v>
      </c>
      <c r="I7" s="1803"/>
      <c r="J7" s="891">
        <f>IF(OR(F7=0,H7=0),0,H7/F7)</f>
        <v>0</v>
      </c>
      <c r="K7" s="4"/>
      <c r="L7" s="286" t="str">
        <f>IF(OR(E15=0,O15=0),"",IF(E15=O15,"なし",IF(E15&gt;O15,"減少","増加")))</f>
        <v/>
      </c>
      <c r="M7" s="1806" t="str">
        <f>IF(OR(L7="",L7="なし"),"－",IF(L7="減少","減少する理由を特記事項欄に記載してください。","やむを得ず増加する場合は特記事項欄に理由を記載してください。"))</f>
        <v>－</v>
      </c>
      <c r="N7" s="1807"/>
      <c r="O7" s="1807"/>
      <c r="P7" s="1807"/>
      <c r="Q7" s="1807"/>
      <c r="R7" s="1807"/>
      <c r="S7" s="1807"/>
      <c r="T7" s="1807"/>
      <c r="U7" s="1808"/>
      <c r="V7" s="4"/>
      <c r="W7" s="4"/>
    </row>
    <row r="8" spans="1:23" ht="18.75" customHeight="1">
      <c r="A8" s="4"/>
      <c r="B8" s="4"/>
      <c r="C8" s="33" t="s">
        <v>376</v>
      </c>
      <c r="D8" s="4"/>
      <c r="E8" s="4"/>
      <c r="F8" s="4"/>
      <c r="G8" s="4"/>
      <c r="H8" s="4"/>
      <c r="I8" s="4"/>
      <c r="J8" s="595"/>
      <c r="K8" s="4"/>
      <c r="L8" s="33" t="s">
        <v>670</v>
      </c>
      <c r="M8" s="33"/>
      <c r="N8" s="33"/>
      <c r="O8" s="33"/>
      <c r="P8" s="33"/>
      <c r="Q8" s="33"/>
      <c r="R8" s="33"/>
      <c r="T8" s="33"/>
      <c r="U8" s="33"/>
      <c r="V8" s="33"/>
      <c r="W8" s="4"/>
    </row>
    <row r="9" spans="1:23" ht="18.75" customHeight="1">
      <c r="A9" s="4"/>
      <c r="B9" s="4"/>
      <c r="C9" s="4"/>
      <c r="D9" s="4"/>
      <c r="E9" s="4"/>
      <c r="F9" s="4"/>
      <c r="G9" s="4"/>
      <c r="H9" s="4"/>
      <c r="I9" s="4"/>
      <c r="J9" s="4"/>
      <c r="K9" s="4"/>
      <c r="L9" s="33"/>
      <c r="M9" s="33"/>
      <c r="N9" s="33"/>
      <c r="O9" s="33"/>
      <c r="P9" s="33"/>
      <c r="Q9" s="33"/>
      <c r="R9" s="33"/>
      <c r="S9" s="4"/>
      <c r="T9" s="33"/>
      <c r="U9" s="33"/>
      <c r="V9" s="33"/>
      <c r="W9" s="4"/>
    </row>
    <row r="10" spans="1:23" ht="18.75" customHeight="1">
      <c r="A10" s="4"/>
      <c r="B10" s="4"/>
      <c r="C10" s="439" t="s">
        <v>43</v>
      </c>
      <c r="D10" s="440" t="s">
        <v>668</v>
      </c>
      <c r="E10" s="441" t="s">
        <v>723</v>
      </c>
      <c r="F10" s="4"/>
      <c r="G10" s="4"/>
      <c r="H10" s="4"/>
      <c r="I10" s="4"/>
      <c r="J10" s="4"/>
      <c r="K10" s="33" t="s">
        <v>671</v>
      </c>
      <c r="L10" s="4"/>
      <c r="M10" s="4"/>
      <c r="N10" s="33" t="s">
        <v>672</v>
      </c>
      <c r="O10" s="4"/>
      <c r="P10" s="4"/>
      <c r="Q10" s="4"/>
      <c r="R10" s="4"/>
      <c r="S10" s="33" t="s">
        <v>673</v>
      </c>
      <c r="T10" s="4"/>
      <c r="U10" s="4"/>
      <c r="V10" s="4"/>
      <c r="W10" s="4"/>
    </row>
    <row r="11" spans="1:23" s="85" customFormat="1" ht="18.75" customHeight="1">
      <c r="A11" s="33"/>
      <c r="B11" s="1804" t="s">
        <v>336</v>
      </c>
      <c r="C11" s="82" t="s">
        <v>54</v>
      </c>
      <c r="D11" s="82"/>
      <c r="E11" s="82"/>
      <c r="F11" s="82"/>
      <c r="G11" s="82"/>
      <c r="H11" s="82"/>
      <c r="I11" s="82"/>
      <c r="J11" s="82"/>
      <c r="K11" s="82"/>
      <c r="L11" s="82"/>
      <c r="M11" s="83" t="s">
        <v>86</v>
      </c>
      <c r="N11" s="83"/>
      <c r="O11" s="83"/>
      <c r="P11" s="83"/>
      <c r="Q11" s="83"/>
      <c r="R11" s="83"/>
      <c r="S11" s="83"/>
      <c r="T11" s="83"/>
      <c r="U11" s="84" t="s">
        <v>58</v>
      </c>
      <c r="V11" s="84"/>
      <c r="W11" s="33"/>
    </row>
    <row r="12" spans="1:23" s="89" customFormat="1" ht="30" customHeight="1">
      <c r="A12" s="108"/>
      <c r="B12" s="1805"/>
      <c r="C12" s="45" t="s">
        <v>44</v>
      </c>
      <c r="D12" s="45" t="s">
        <v>586</v>
      </c>
      <c r="E12" s="45" t="s">
        <v>587</v>
      </c>
      <c r="F12" s="45" t="s">
        <v>588</v>
      </c>
      <c r="G12" s="45" t="s">
        <v>589</v>
      </c>
      <c r="H12" s="45" t="s">
        <v>46</v>
      </c>
      <c r="I12" s="45" t="s">
        <v>152</v>
      </c>
      <c r="J12" s="45" t="s">
        <v>666</v>
      </c>
      <c r="K12" s="45" t="s">
        <v>591</v>
      </c>
      <c r="L12" s="45" t="s">
        <v>592</v>
      </c>
      <c r="M12" s="86" t="s">
        <v>44</v>
      </c>
      <c r="N12" s="86" t="s">
        <v>65</v>
      </c>
      <c r="O12" s="86" t="s">
        <v>590</v>
      </c>
      <c r="P12" s="86" t="s">
        <v>46</v>
      </c>
      <c r="Q12" s="86" t="s">
        <v>152</v>
      </c>
      <c r="R12" s="86" t="s">
        <v>63</v>
      </c>
      <c r="S12" s="86" t="s">
        <v>62</v>
      </c>
      <c r="T12" s="86" t="s">
        <v>593</v>
      </c>
      <c r="U12" s="88" t="s">
        <v>594</v>
      </c>
      <c r="V12" s="88" t="s">
        <v>595</v>
      </c>
      <c r="W12" s="108"/>
    </row>
    <row r="13" spans="1:23" s="89" customFormat="1" ht="18.75" customHeight="1">
      <c r="A13" s="108"/>
      <c r="B13" s="43" t="s">
        <v>7</v>
      </c>
      <c r="C13" s="42" t="s">
        <v>45</v>
      </c>
      <c r="D13" s="42" t="s">
        <v>47</v>
      </c>
      <c r="E13" s="42" t="s">
        <v>48</v>
      </c>
      <c r="F13" s="42" t="s">
        <v>49</v>
      </c>
      <c r="G13" s="42" t="s">
        <v>51</v>
      </c>
      <c r="H13" s="198"/>
      <c r="I13" s="42" t="s">
        <v>52</v>
      </c>
      <c r="J13" s="42" t="s">
        <v>53</v>
      </c>
      <c r="K13" s="42" t="s">
        <v>55</v>
      </c>
      <c r="L13" s="42" t="s">
        <v>56</v>
      </c>
      <c r="M13" s="87" t="s">
        <v>45</v>
      </c>
      <c r="N13" s="87" t="s">
        <v>47</v>
      </c>
      <c r="O13" s="87" t="s">
        <v>48</v>
      </c>
      <c r="P13" s="199"/>
      <c r="Q13" s="87" t="s">
        <v>52</v>
      </c>
      <c r="R13" s="87" t="s">
        <v>53</v>
      </c>
      <c r="S13" s="87" t="s">
        <v>55</v>
      </c>
      <c r="T13" s="87" t="s">
        <v>56</v>
      </c>
      <c r="U13" s="90" t="s">
        <v>55</v>
      </c>
      <c r="V13" s="90" t="s">
        <v>56</v>
      </c>
      <c r="W13" s="108"/>
    </row>
    <row r="14" spans="1:23" s="446" customFormat="1" ht="18.75" customHeight="1" thickBot="1">
      <c r="A14" s="36"/>
      <c r="B14" s="915" t="s">
        <v>77</v>
      </c>
      <c r="C14" s="1080" t="s">
        <v>50</v>
      </c>
      <c r="D14" s="1081">
        <v>80</v>
      </c>
      <c r="E14" s="1082">
        <v>20</v>
      </c>
      <c r="F14" s="1081">
        <v>8</v>
      </c>
      <c r="G14" s="1082">
        <v>250</v>
      </c>
      <c r="H14" s="1083"/>
      <c r="I14" s="1083"/>
      <c r="J14" s="1084">
        <f>IFERROR(IF(OR(F14="", G14=""), "", IF(H14="", F14*G14, F14*G14*I14/100)), "")</f>
        <v>2000</v>
      </c>
      <c r="K14" s="1085">
        <f>IFERROR(IF(OR(D14="", E14="", J14=""), "", D14*E14*J14/1000), "")</f>
        <v>3200</v>
      </c>
      <c r="L14" s="1086">
        <f>IFERROR(IF(K14="", "", K14*'(参考)排出係数'!$F$3), "")</f>
        <v>1376</v>
      </c>
      <c r="M14" s="1080" t="s">
        <v>57</v>
      </c>
      <c r="N14" s="1081">
        <v>60</v>
      </c>
      <c r="O14" s="1082">
        <v>20</v>
      </c>
      <c r="P14" s="1080" t="s">
        <v>313</v>
      </c>
      <c r="Q14" s="1083">
        <v>80</v>
      </c>
      <c r="R14" s="1084">
        <f>IF(P14="",J14,J14*Q14/100)</f>
        <v>1600</v>
      </c>
      <c r="S14" s="1086">
        <f>IFERROR(IF(OR(N14="", O14="", R14=""), "", N14*O14*R14/1000), "")</f>
        <v>1920</v>
      </c>
      <c r="T14" s="1086">
        <f>IFERROR(IF(S14="", "", S14*'(参考)排出係数'!$F$3), "")</f>
        <v>825.6</v>
      </c>
      <c r="U14" s="1086">
        <f>IFERROR(IF(OR(K14="", S14=""), "", K14-S14), "")</f>
        <v>1280</v>
      </c>
      <c r="V14" s="1086">
        <f>IFERROR(IF(OR(L14="", T14=""), "", L14-T14), "")</f>
        <v>550.4</v>
      </c>
      <c r="W14" s="36"/>
    </row>
    <row r="15" spans="1:23" ht="18.75" customHeight="1" thickTop="1" thickBot="1">
      <c r="A15" s="4"/>
      <c r="B15" s="920" t="s">
        <v>67</v>
      </c>
      <c r="C15" s="1087"/>
      <c r="D15" s="1088"/>
      <c r="E15" s="1089">
        <f>SUM(E16:E35)</f>
        <v>0</v>
      </c>
      <c r="F15" s="1088"/>
      <c r="G15" s="1090"/>
      <c r="H15" s="1091"/>
      <c r="I15" s="1091"/>
      <c r="J15" s="1090"/>
      <c r="K15" s="1092">
        <f>SUM(K16:K35)</f>
        <v>0</v>
      </c>
      <c r="L15" s="1092">
        <f>SUM(L16:L35)</f>
        <v>0</v>
      </c>
      <c r="M15" s="1087"/>
      <c r="N15" s="1088"/>
      <c r="O15" s="1089">
        <f>SUM(O16:O35)</f>
        <v>0</v>
      </c>
      <c r="P15" s="1091"/>
      <c r="Q15" s="1091"/>
      <c r="R15" s="1090"/>
      <c r="S15" s="1092">
        <f>SUM(S16:S35)</f>
        <v>0</v>
      </c>
      <c r="T15" s="1092">
        <f>SUM(T16:T35)</f>
        <v>0</v>
      </c>
      <c r="U15" s="1092">
        <f>SUM(U16:U35)</f>
        <v>0</v>
      </c>
      <c r="V15" s="1093">
        <f>SUM(V16:V35)</f>
        <v>0</v>
      </c>
      <c r="W15" s="4"/>
    </row>
    <row r="16" spans="1:23" s="597" customFormat="1" ht="18.75" customHeight="1" thickTop="1">
      <c r="A16" s="595"/>
      <c r="B16" s="919" t="s">
        <v>177</v>
      </c>
      <c r="C16" s="1054"/>
      <c r="D16" s="1065"/>
      <c r="E16" s="1094"/>
      <c r="F16" s="1065"/>
      <c r="G16" s="1094"/>
      <c r="H16" s="1055"/>
      <c r="I16" s="1095"/>
      <c r="J16" s="1096" t="str">
        <f>IFERROR(IF(OR(F16="", G16=""), "", IF(H16="", F16*G16, F16*G16*I16/100)), "")</f>
        <v/>
      </c>
      <c r="K16" s="1067" t="str">
        <f>IFERROR(IF(OR(D16="", E16="", J16=""), "", D16*E16*J16/1000), "")</f>
        <v/>
      </c>
      <c r="L16" s="1066" t="str">
        <f>IFERROR(IF(K16="", "", K16*'(参考)排出係数'!$F$3), "")</f>
        <v/>
      </c>
      <c r="M16" s="1054"/>
      <c r="N16" s="1065"/>
      <c r="O16" s="1094"/>
      <c r="P16" s="1055"/>
      <c r="Q16" s="1095"/>
      <c r="R16" s="1097" t="str">
        <f>IF(P16="",J16,J16*Q16/100)</f>
        <v/>
      </c>
      <c r="S16" s="1066" t="str">
        <f>IFERROR(IF(OR(N16="", O16="", R16=""), "", N16*O16*R16/1000), "")</f>
        <v/>
      </c>
      <c r="T16" s="1066" t="str">
        <f>IFERROR(IF(S16="", "", S16*'(参考)排出係数'!$F$3), "")</f>
        <v/>
      </c>
      <c r="U16" s="1066" t="str">
        <f>IFERROR(IF(OR(K16="", S16=""), "", K16-S16), "")</f>
        <v/>
      </c>
      <c r="V16" s="1066" t="str">
        <f>IFERROR(IF(OR(L16="", T16=""), "", L16-T16), "")</f>
        <v/>
      </c>
      <c r="W16" s="595"/>
    </row>
    <row r="17" spans="1:23" ht="18.75" customHeight="1">
      <c r="A17" s="4"/>
      <c r="B17" s="596" t="s">
        <v>178</v>
      </c>
      <c r="C17" s="1056"/>
      <c r="D17" s="1068"/>
      <c r="E17" s="1098"/>
      <c r="F17" s="1068"/>
      <c r="G17" s="1098"/>
      <c r="H17" s="1057"/>
      <c r="I17" s="1099"/>
      <c r="J17" s="1100" t="str">
        <f t="shared" ref="J17:J35" si="0">IFERROR(IF(OR(F17="", G17=""), "", IF(H17="", F17*G17, F17*G17*I17/100)), "")</f>
        <v/>
      </c>
      <c r="K17" s="1070" t="str">
        <f>IFERROR(IF(OR(D17="", E17="", J17=""), "", D17*E17*J17/1000), "")</f>
        <v/>
      </c>
      <c r="L17" s="1069" t="str">
        <f>IFERROR(IF(K17="", "", K17*'(参考)排出係数'!$F$3), "")</f>
        <v/>
      </c>
      <c r="M17" s="1056"/>
      <c r="N17" s="1068"/>
      <c r="O17" s="1098"/>
      <c r="P17" s="1057"/>
      <c r="Q17" s="1099"/>
      <c r="R17" s="1101" t="str">
        <f t="shared" ref="R17:R35" si="1">IF(P17="",J17,J17*Q17/100)</f>
        <v/>
      </c>
      <c r="S17" s="1069" t="str">
        <f t="shared" ref="S17:S35" si="2">IFERROR(IF(OR(N17="", O17="", R17=""), "", N17*O17*R17/1000), "")</f>
        <v/>
      </c>
      <c r="T17" s="1069" t="str">
        <f>IFERROR(IF(S17="", "", S17*'(参考)排出係数'!$F$3), "")</f>
        <v/>
      </c>
      <c r="U17" s="1069" t="str">
        <f t="shared" ref="U17:U35" si="3">IFERROR(IF(OR(K17="", S17=""), "", K17-S17), "")</f>
        <v/>
      </c>
      <c r="V17" s="1069" t="str">
        <f t="shared" ref="V17:V35" si="4">IFERROR(IF(OR(L17="", T17=""), "", L17-T17), "")</f>
        <v/>
      </c>
      <c r="W17" s="4"/>
    </row>
    <row r="18" spans="1:23" ht="18.75" customHeight="1">
      <c r="A18" s="4"/>
      <c r="B18" s="596" t="s">
        <v>179</v>
      </c>
      <c r="C18" s="1056"/>
      <c r="D18" s="1068"/>
      <c r="E18" s="1098"/>
      <c r="F18" s="1068"/>
      <c r="G18" s="1098"/>
      <c r="H18" s="1057"/>
      <c r="I18" s="1099"/>
      <c r="J18" s="1100" t="str">
        <f t="shared" si="0"/>
        <v/>
      </c>
      <c r="K18" s="1070" t="str">
        <f t="shared" ref="K18:K35" si="5">IFERROR(IF(OR(D18="", E18="", J18=""), "", D18*E18*J18/1000), "")</f>
        <v/>
      </c>
      <c r="L18" s="1069" t="str">
        <f>IFERROR(IF(K18="", "", K18*'(参考)排出係数'!$F$3), "")</f>
        <v/>
      </c>
      <c r="M18" s="1056"/>
      <c r="N18" s="1068"/>
      <c r="O18" s="1098"/>
      <c r="P18" s="1057"/>
      <c r="Q18" s="1099"/>
      <c r="R18" s="1101" t="str">
        <f t="shared" si="1"/>
        <v/>
      </c>
      <c r="S18" s="1069" t="str">
        <f t="shared" si="2"/>
        <v/>
      </c>
      <c r="T18" s="1069" t="str">
        <f>IFERROR(IF(S18="", "", S18*'(参考)排出係数'!$F$3), "")</f>
        <v/>
      </c>
      <c r="U18" s="1069" t="str">
        <f t="shared" si="3"/>
        <v/>
      </c>
      <c r="V18" s="1069" t="str">
        <f t="shared" si="4"/>
        <v/>
      </c>
      <c r="W18" s="4"/>
    </row>
    <row r="19" spans="1:23" ht="18.75" customHeight="1">
      <c r="A19" s="4"/>
      <c r="B19" s="596" t="s">
        <v>180</v>
      </c>
      <c r="C19" s="1056"/>
      <c r="D19" s="1068"/>
      <c r="E19" s="1098"/>
      <c r="F19" s="1068"/>
      <c r="G19" s="1098"/>
      <c r="H19" s="1057"/>
      <c r="I19" s="1099"/>
      <c r="J19" s="1100" t="str">
        <f t="shared" si="0"/>
        <v/>
      </c>
      <c r="K19" s="1070" t="str">
        <f t="shared" si="5"/>
        <v/>
      </c>
      <c r="L19" s="1069" t="str">
        <f>IFERROR(IF(K19="", "", K19*'(参考)排出係数'!$F$3), "")</f>
        <v/>
      </c>
      <c r="M19" s="1056"/>
      <c r="N19" s="1068"/>
      <c r="O19" s="1098"/>
      <c r="P19" s="1057"/>
      <c r="Q19" s="1099"/>
      <c r="R19" s="1101" t="str">
        <f t="shared" si="1"/>
        <v/>
      </c>
      <c r="S19" s="1069" t="str">
        <f t="shared" si="2"/>
        <v/>
      </c>
      <c r="T19" s="1069" t="str">
        <f>IFERROR(IF(S19="", "", S19*'(参考)排出係数'!$F$3), "")</f>
        <v/>
      </c>
      <c r="U19" s="1069" t="str">
        <f t="shared" si="3"/>
        <v/>
      </c>
      <c r="V19" s="1069" t="str">
        <f t="shared" si="4"/>
        <v/>
      </c>
      <c r="W19" s="4"/>
    </row>
    <row r="20" spans="1:23" ht="18.75" customHeight="1">
      <c r="A20" s="4"/>
      <c r="B20" s="596" t="s">
        <v>181</v>
      </c>
      <c r="C20" s="1056"/>
      <c r="D20" s="1068"/>
      <c r="E20" s="1098"/>
      <c r="F20" s="1068"/>
      <c r="G20" s="1098"/>
      <c r="H20" s="1057"/>
      <c r="I20" s="1099"/>
      <c r="J20" s="1100" t="str">
        <f t="shared" si="0"/>
        <v/>
      </c>
      <c r="K20" s="1070" t="str">
        <f t="shared" si="5"/>
        <v/>
      </c>
      <c r="L20" s="1069" t="str">
        <f>IFERROR(IF(K20="", "", K20*'(参考)排出係数'!$F$3), "")</f>
        <v/>
      </c>
      <c r="M20" s="1056"/>
      <c r="N20" s="1068"/>
      <c r="O20" s="1098"/>
      <c r="P20" s="1057"/>
      <c r="Q20" s="1099"/>
      <c r="R20" s="1101" t="str">
        <f t="shared" si="1"/>
        <v/>
      </c>
      <c r="S20" s="1069" t="str">
        <f t="shared" si="2"/>
        <v/>
      </c>
      <c r="T20" s="1069" t="str">
        <f>IFERROR(IF(S20="", "", S20*'(参考)排出係数'!$F$3), "")</f>
        <v/>
      </c>
      <c r="U20" s="1069" t="str">
        <f t="shared" si="3"/>
        <v/>
      </c>
      <c r="V20" s="1069" t="str">
        <f t="shared" si="4"/>
        <v/>
      </c>
      <c r="W20" s="4"/>
    </row>
    <row r="21" spans="1:23" ht="18.75" customHeight="1">
      <c r="A21" s="4"/>
      <c r="B21" s="596" t="s">
        <v>182</v>
      </c>
      <c r="C21" s="1056"/>
      <c r="D21" s="1068"/>
      <c r="E21" s="1098"/>
      <c r="F21" s="1068"/>
      <c r="G21" s="1098"/>
      <c r="H21" s="1057"/>
      <c r="I21" s="1099"/>
      <c r="J21" s="1100" t="str">
        <f t="shared" si="0"/>
        <v/>
      </c>
      <c r="K21" s="1070" t="str">
        <f t="shared" si="5"/>
        <v/>
      </c>
      <c r="L21" s="1069" t="str">
        <f>IFERROR(IF(K21="", "", K21*'(参考)排出係数'!$F$3), "")</f>
        <v/>
      </c>
      <c r="M21" s="1056"/>
      <c r="N21" s="1068"/>
      <c r="O21" s="1098"/>
      <c r="P21" s="1057"/>
      <c r="Q21" s="1099"/>
      <c r="R21" s="1101" t="str">
        <f t="shared" si="1"/>
        <v/>
      </c>
      <c r="S21" s="1069" t="str">
        <f t="shared" si="2"/>
        <v/>
      </c>
      <c r="T21" s="1069" t="str">
        <f>IFERROR(IF(S21="", "", S21*'(参考)排出係数'!$F$3), "")</f>
        <v/>
      </c>
      <c r="U21" s="1069" t="str">
        <f t="shared" si="3"/>
        <v/>
      </c>
      <c r="V21" s="1069" t="str">
        <f t="shared" si="4"/>
        <v/>
      </c>
      <c r="W21" s="4"/>
    </row>
    <row r="22" spans="1:23" ht="18.75" customHeight="1">
      <c r="A22" s="4"/>
      <c r="B22" s="596" t="s">
        <v>183</v>
      </c>
      <c r="C22" s="1056"/>
      <c r="D22" s="1068"/>
      <c r="E22" s="1098"/>
      <c r="F22" s="1068"/>
      <c r="G22" s="1098"/>
      <c r="H22" s="1057"/>
      <c r="I22" s="1099"/>
      <c r="J22" s="1100" t="str">
        <f t="shared" si="0"/>
        <v/>
      </c>
      <c r="K22" s="1070" t="str">
        <f t="shared" si="5"/>
        <v/>
      </c>
      <c r="L22" s="1069" t="str">
        <f>IFERROR(IF(K22="", "", K22*'(参考)排出係数'!$F$3), "")</f>
        <v/>
      </c>
      <c r="M22" s="1056"/>
      <c r="N22" s="1068"/>
      <c r="O22" s="1098"/>
      <c r="P22" s="1057"/>
      <c r="Q22" s="1099"/>
      <c r="R22" s="1101" t="str">
        <f t="shared" si="1"/>
        <v/>
      </c>
      <c r="S22" s="1069" t="str">
        <f t="shared" si="2"/>
        <v/>
      </c>
      <c r="T22" s="1069" t="str">
        <f>IFERROR(IF(S22="", "", S22*'(参考)排出係数'!$F$3), "")</f>
        <v/>
      </c>
      <c r="U22" s="1069" t="str">
        <f t="shared" si="3"/>
        <v/>
      </c>
      <c r="V22" s="1069" t="str">
        <f t="shared" si="4"/>
        <v/>
      </c>
      <c r="W22" s="4"/>
    </row>
    <row r="23" spans="1:23" ht="18.75" customHeight="1">
      <c r="A23" s="4"/>
      <c r="B23" s="596" t="s">
        <v>184</v>
      </c>
      <c r="C23" s="1056"/>
      <c r="D23" s="1068"/>
      <c r="E23" s="1098"/>
      <c r="F23" s="1068"/>
      <c r="G23" s="1098"/>
      <c r="H23" s="1057"/>
      <c r="I23" s="1099"/>
      <c r="J23" s="1100" t="str">
        <f t="shared" si="0"/>
        <v/>
      </c>
      <c r="K23" s="1070" t="str">
        <f t="shared" si="5"/>
        <v/>
      </c>
      <c r="L23" s="1069" t="str">
        <f>IFERROR(IF(K23="", "", K23*'(参考)排出係数'!$F$3), "")</f>
        <v/>
      </c>
      <c r="M23" s="1056"/>
      <c r="N23" s="1068"/>
      <c r="O23" s="1098"/>
      <c r="P23" s="1057"/>
      <c r="Q23" s="1099"/>
      <c r="R23" s="1101" t="str">
        <f t="shared" si="1"/>
        <v/>
      </c>
      <c r="S23" s="1069" t="str">
        <f t="shared" si="2"/>
        <v/>
      </c>
      <c r="T23" s="1069" t="str">
        <f>IFERROR(IF(S23="", "", S23*'(参考)排出係数'!$F$3), "")</f>
        <v/>
      </c>
      <c r="U23" s="1069" t="str">
        <f t="shared" si="3"/>
        <v/>
      </c>
      <c r="V23" s="1069" t="str">
        <f t="shared" si="4"/>
        <v/>
      </c>
      <c r="W23" s="4"/>
    </row>
    <row r="24" spans="1:23" ht="18.75" customHeight="1">
      <c r="A24" s="4"/>
      <c r="B24" s="596" t="s">
        <v>185</v>
      </c>
      <c r="C24" s="1056"/>
      <c r="D24" s="1068"/>
      <c r="E24" s="1098"/>
      <c r="F24" s="1068"/>
      <c r="G24" s="1098"/>
      <c r="H24" s="1057"/>
      <c r="I24" s="1099"/>
      <c r="J24" s="1100" t="str">
        <f t="shared" si="0"/>
        <v/>
      </c>
      <c r="K24" s="1070" t="str">
        <f t="shared" si="5"/>
        <v/>
      </c>
      <c r="L24" s="1069" t="str">
        <f>IFERROR(IF(K24="", "", K24*'(参考)排出係数'!$F$3), "")</f>
        <v/>
      </c>
      <c r="M24" s="1056"/>
      <c r="N24" s="1068"/>
      <c r="O24" s="1098"/>
      <c r="P24" s="1057"/>
      <c r="Q24" s="1099"/>
      <c r="R24" s="1101" t="str">
        <f t="shared" si="1"/>
        <v/>
      </c>
      <c r="S24" s="1069" t="str">
        <f t="shared" si="2"/>
        <v/>
      </c>
      <c r="T24" s="1069" t="str">
        <f>IFERROR(IF(S24="", "", S24*'(参考)排出係数'!$F$3), "")</f>
        <v/>
      </c>
      <c r="U24" s="1069" t="str">
        <f t="shared" si="3"/>
        <v/>
      </c>
      <c r="V24" s="1069" t="str">
        <f t="shared" si="4"/>
        <v/>
      </c>
      <c r="W24" s="4"/>
    </row>
    <row r="25" spans="1:23" ht="18.75" customHeight="1">
      <c r="A25" s="4"/>
      <c r="B25" s="596" t="s">
        <v>186</v>
      </c>
      <c r="C25" s="1056"/>
      <c r="D25" s="1068"/>
      <c r="E25" s="1098"/>
      <c r="F25" s="1068"/>
      <c r="G25" s="1098"/>
      <c r="H25" s="1057"/>
      <c r="I25" s="1099"/>
      <c r="J25" s="1100" t="str">
        <f t="shared" si="0"/>
        <v/>
      </c>
      <c r="K25" s="1070" t="str">
        <f t="shared" si="5"/>
        <v/>
      </c>
      <c r="L25" s="1069" t="str">
        <f>IFERROR(IF(K25="", "", K25*'(参考)排出係数'!$F$3), "")</f>
        <v/>
      </c>
      <c r="M25" s="1056"/>
      <c r="N25" s="1068"/>
      <c r="O25" s="1098"/>
      <c r="P25" s="1057"/>
      <c r="Q25" s="1099"/>
      <c r="R25" s="1101" t="str">
        <f t="shared" ref="R25:R34" si="6">IF(P25="",J25,J25*Q25/100)</f>
        <v/>
      </c>
      <c r="S25" s="1069" t="str">
        <f t="shared" si="2"/>
        <v/>
      </c>
      <c r="T25" s="1069" t="str">
        <f>IFERROR(IF(S25="", "", S25*'(参考)排出係数'!$F$3), "")</f>
        <v/>
      </c>
      <c r="U25" s="1069" t="str">
        <f t="shared" si="3"/>
        <v/>
      </c>
      <c r="V25" s="1069" t="str">
        <f t="shared" si="4"/>
        <v/>
      </c>
      <c r="W25" s="4"/>
    </row>
    <row r="26" spans="1:23" ht="18.75" customHeight="1">
      <c r="A26" s="4"/>
      <c r="B26" s="596" t="s">
        <v>403</v>
      </c>
      <c r="C26" s="1056"/>
      <c r="D26" s="1068"/>
      <c r="E26" s="1098"/>
      <c r="F26" s="1068"/>
      <c r="G26" s="1098"/>
      <c r="H26" s="1057"/>
      <c r="I26" s="1099"/>
      <c r="J26" s="1100" t="str">
        <f t="shared" si="0"/>
        <v/>
      </c>
      <c r="K26" s="1070" t="str">
        <f t="shared" si="5"/>
        <v/>
      </c>
      <c r="L26" s="1069" t="str">
        <f>IFERROR(IF(K26="", "", K26*'(参考)排出係数'!$F$3), "")</f>
        <v/>
      </c>
      <c r="M26" s="1056"/>
      <c r="N26" s="1068"/>
      <c r="O26" s="1098"/>
      <c r="P26" s="1057"/>
      <c r="Q26" s="1099"/>
      <c r="R26" s="1101" t="str">
        <f t="shared" si="6"/>
        <v/>
      </c>
      <c r="S26" s="1069" t="str">
        <f t="shared" si="2"/>
        <v/>
      </c>
      <c r="T26" s="1069" t="str">
        <f>IFERROR(IF(S26="", "", S26*'(参考)排出係数'!$F$3), "")</f>
        <v/>
      </c>
      <c r="U26" s="1069" t="str">
        <f t="shared" si="3"/>
        <v/>
      </c>
      <c r="V26" s="1069" t="str">
        <f t="shared" si="4"/>
        <v/>
      </c>
      <c r="W26" s="4"/>
    </row>
    <row r="27" spans="1:23" ht="18.75" customHeight="1">
      <c r="A27" s="4"/>
      <c r="B27" s="596" t="s">
        <v>404</v>
      </c>
      <c r="C27" s="1056"/>
      <c r="D27" s="1068"/>
      <c r="E27" s="1098"/>
      <c r="F27" s="1068"/>
      <c r="G27" s="1098"/>
      <c r="H27" s="1057"/>
      <c r="I27" s="1099"/>
      <c r="J27" s="1100" t="str">
        <f t="shared" si="0"/>
        <v/>
      </c>
      <c r="K27" s="1070" t="str">
        <f t="shared" si="5"/>
        <v/>
      </c>
      <c r="L27" s="1069" t="str">
        <f>IFERROR(IF(K27="", "", K27*'(参考)排出係数'!$F$3), "")</f>
        <v/>
      </c>
      <c r="M27" s="1056"/>
      <c r="N27" s="1068"/>
      <c r="O27" s="1098"/>
      <c r="P27" s="1057"/>
      <c r="Q27" s="1099"/>
      <c r="R27" s="1101" t="str">
        <f t="shared" si="6"/>
        <v/>
      </c>
      <c r="S27" s="1069" t="str">
        <f t="shared" si="2"/>
        <v/>
      </c>
      <c r="T27" s="1069" t="str">
        <f>IFERROR(IF(S27="", "", S27*'(参考)排出係数'!$F$3), "")</f>
        <v/>
      </c>
      <c r="U27" s="1069" t="str">
        <f t="shared" si="3"/>
        <v/>
      </c>
      <c r="V27" s="1069" t="str">
        <f t="shared" si="4"/>
        <v/>
      </c>
      <c r="W27" s="4"/>
    </row>
    <row r="28" spans="1:23" ht="18.75" customHeight="1">
      <c r="A28" s="4"/>
      <c r="B28" s="596" t="s">
        <v>405</v>
      </c>
      <c r="C28" s="1056"/>
      <c r="D28" s="1068"/>
      <c r="E28" s="1098"/>
      <c r="F28" s="1068"/>
      <c r="G28" s="1098"/>
      <c r="H28" s="1057"/>
      <c r="I28" s="1099"/>
      <c r="J28" s="1100" t="str">
        <f t="shared" si="0"/>
        <v/>
      </c>
      <c r="K28" s="1070" t="str">
        <f t="shared" si="5"/>
        <v/>
      </c>
      <c r="L28" s="1069" t="str">
        <f>IFERROR(IF(K28="", "", K28*'(参考)排出係数'!$F$3), "")</f>
        <v/>
      </c>
      <c r="M28" s="1056"/>
      <c r="N28" s="1068"/>
      <c r="O28" s="1098"/>
      <c r="P28" s="1057"/>
      <c r="Q28" s="1099"/>
      <c r="R28" s="1101" t="str">
        <f t="shared" si="6"/>
        <v/>
      </c>
      <c r="S28" s="1069" t="str">
        <f t="shared" si="2"/>
        <v/>
      </c>
      <c r="T28" s="1069" t="str">
        <f>IFERROR(IF(S28="", "", S28*'(参考)排出係数'!$F$3), "")</f>
        <v/>
      </c>
      <c r="U28" s="1069" t="str">
        <f t="shared" si="3"/>
        <v/>
      </c>
      <c r="V28" s="1069" t="str">
        <f t="shared" si="4"/>
        <v/>
      </c>
      <c r="W28" s="4"/>
    </row>
    <row r="29" spans="1:23" ht="18.75" customHeight="1">
      <c r="A29" s="4"/>
      <c r="B29" s="596" t="s">
        <v>406</v>
      </c>
      <c r="C29" s="1056"/>
      <c r="D29" s="1068"/>
      <c r="E29" s="1098"/>
      <c r="F29" s="1068"/>
      <c r="G29" s="1098"/>
      <c r="H29" s="1057"/>
      <c r="I29" s="1099"/>
      <c r="J29" s="1100" t="str">
        <f t="shared" si="0"/>
        <v/>
      </c>
      <c r="K29" s="1070" t="str">
        <f t="shared" si="5"/>
        <v/>
      </c>
      <c r="L29" s="1069" t="str">
        <f>IFERROR(IF(K29="", "", K29*'(参考)排出係数'!$F$3), "")</f>
        <v/>
      </c>
      <c r="M29" s="1056"/>
      <c r="N29" s="1068"/>
      <c r="O29" s="1098"/>
      <c r="P29" s="1057"/>
      <c r="Q29" s="1099"/>
      <c r="R29" s="1101" t="str">
        <f t="shared" si="6"/>
        <v/>
      </c>
      <c r="S29" s="1069" t="str">
        <f t="shared" si="2"/>
        <v/>
      </c>
      <c r="T29" s="1069" t="str">
        <f>IFERROR(IF(S29="", "", S29*'(参考)排出係数'!$F$3), "")</f>
        <v/>
      </c>
      <c r="U29" s="1069" t="str">
        <f t="shared" si="3"/>
        <v/>
      </c>
      <c r="V29" s="1069" t="str">
        <f t="shared" si="4"/>
        <v/>
      </c>
      <c r="W29" s="4"/>
    </row>
    <row r="30" spans="1:23" ht="18.75" customHeight="1">
      <c r="A30" s="4"/>
      <c r="B30" s="596" t="s">
        <v>407</v>
      </c>
      <c r="C30" s="1056"/>
      <c r="D30" s="1068"/>
      <c r="E30" s="1098"/>
      <c r="F30" s="1068"/>
      <c r="G30" s="1098"/>
      <c r="H30" s="1057"/>
      <c r="I30" s="1099"/>
      <c r="J30" s="1100" t="str">
        <f t="shared" si="0"/>
        <v/>
      </c>
      <c r="K30" s="1070" t="str">
        <f t="shared" si="5"/>
        <v/>
      </c>
      <c r="L30" s="1069" t="str">
        <f>IFERROR(IF(K30="", "", K30*'(参考)排出係数'!$F$3), "")</f>
        <v/>
      </c>
      <c r="M30" s="1056"/>
      <c r="N30" s="1068"/>
      <c r="O30" s="1098"/>
      <c r="P30" s="1057"/>
      <c r="Q30" s="1099"/>
      <c r="R30" s="1101" t="str">
        <f t="shared" si="6"/>
        <v/>
      </c>
      <c r="S30" s="1069" t="str">
        <f t="shared" si="2"/>
        <v/>
      </c>
      <c r="T30" s="1069" t="str">
        <f>IFERROR(IF(S30="", "", S30*'(参考)排出係数'!$F$3), "")</f>
        <v/>
      </c>
      <c r="U30" s="1069" t="str">
        <f t="shared" si="3"/>
        <v/>
      </c>
      <c r="V30" s="1069" t="str">
        <f t="shared" si="4"/>
        <v/>
      </c>
      <c r="W30" s="4"/>
    </row>
    <row r="31" spans="1:23" ht="18.75" customHeight="1">
      <c r="A31" s="4"/>
      <c r="B31" s="596" t="s">
        <v>408</v>
      </c>
      <c r="C31" s="1056"/>
      <c r="D31" s="1068"/>
      <c r="E31" s="1098"/>
      <c r="F31" s="1068"/>
      <c r="G31" s="1098"/>
      <c r="H31" s="1057"/>
      <c r="I31" s="1099"/>
      <c r="J31" s="1100" t="str">
        <f t="shared" si="0"/>
        <v/>
      </c>
      <c r="K31" s="1070" t="str">
        <f t="shared" si="5"/>
        <v/>
      </c>
      <c r="L31" s="1069" t="str">
        <f>IFERROR(IF(K31="", "", K31*'(参考)排出係数'!$F$3), "")</f>
        <v/>
      </c>
      <c r="M31" s="1056"/>
      <c r="N31" s="1068"/>
      <c r="O31" s="1098"/>
      <c r="P31" s="1057"/>
      <c r="Q31" s="1099"/>
      <c r="R31" s="1101" t="str">
        <f t="shared" si="6"/>
        <v/>
      </c>
      <c r="S31" s="1069" t="str">
        <f t="shared" si="2"/>
        <v/>
      </c>
      <c r="T31" s="1069" t="str">
        <f>IFERROR(IF(S31="", "", S31*'(参考)排出係数'!$F$3), "")</f>
        <v/>
      </c>
      <c r="U31" s="1069" t="str">
        <f t="shared" si="3"/>
        <v/>
      </c>
      <c r="V31" s="1069" t="str">
        <f t="shared" si="4"/>
        <v/>
      </c>
      <c r="W31" s="4"/>
    </row>
    <row r="32" spans="1:23" ht="18.75" customHeight="1">
      <c r="A32" s="4"/>
      <c r="B32" s="596" t="s">
        <v>409</v>
      </c>
      <c r="C32" s="1056"/>
      <c r="D32" s="1068"/>
      <c r="E32" s="1098"/>
      <c r="F32" s="1068"/>
      <c r="G32" s="1098"/>
      <c r="H32" s="1057"/>
      <c r="I32" s="1099"/>
      <c r="J32" s="1100" t="str">
        <f t="shared" si="0"/>
        <v/>
      </c>
      <c r="K32" s="1070" t="str">
        <f t="shared" si="5"/>
        <v/>
      </c>
      <c r="L32" s="1069" t="str">
        <f>IFERROR(IF(K32="", "", K32*'(参考)排出係数'!$F$3), "")</f>
        <v/>
      </c>
      <c r="M32" s="1056"/>
      <c r="N32" s="1068"/>
      <c r="O32" s="1098"/>
      <c r="P32" s="1057"/>
      <c r="Q32" s="1099"/>
      <c r="R32" s="1101" t="str">
        <f t="shared" si="6"/>
        <v/>
      </c>
      <c r="S32" s="1069" t="str">
        <f t="shared" si="2"/>
        <v/>
      </c>
      <c r="T32" s="1069" t="str">
        <f>IFERROR(IF(S32="", "", S32*'(参考)排出係数'!$F$3), "")</f>
        <v/>
      </c>
      <c r="U32" s="1069" t="str">
        <f t="shared" si="3"/>
        <v/>
      </c>
      <c r="V32" s="1069" t="str">
        <f t="shared" si="4"/>
        <v/>
      </c>
      <c r="W32" s="4"/>
    </row>
    <row r="33" spans="1:23" ht="18.75" customHeight="1">
      <c r="A33" s="4"/>
      <c r="B33" s="596" t="s">
        <v>410</v>
      </c>
      <c r="C33" s="1056"/>
      <c r="D33" s="1068"/>
      <c r="E33" s="1098"/>
      <c r="F33" s="1068"/>
      <c r="G33" s="1098"/>
      <c r="H33" s="1057"/>
      <c r="I33" s="1099"/>
      <c r="J33" s="1100" t="str">
        <f t="shared" si="0"/>
        <v/>
      </c>
      <c r="K33" s="1070" t="str">
        <f t="shared" si="5"/>
        <v/>
      </c>
      <c r="L33" s="1069" t="str">
        <f>IFERROR(IF(K33="", "", K33*'(参考)排出係数'!$F$3), "")</f>
        <v/>
      </c>
      <c r="M33" s="1056"/>
      <c r="N33" s="1068"/>
      <c r="O33" s="1098"/>
      <c r="P33" s="1057"/>
      <c r="Q33" s="1099"/>
      <c r="R33" s="1101" t="str">
        <f t="shared" si="6"/>
        <v/>
      </c>
      <c r="S33" s="1069" t="str">
        <f t="shared" si="2"/>
        <v/>
      </c>
      <c r="T33" s="1069" t="str">
        <f>IFERROR(IF(S33="", "", S33*'(参考)排出係数'!$F$3), "")</f>
        <v/>
      </c>
      <c r="U33" s="1069" t="str">
        <f t="shared" si="3"/>
        <v/>
      </c>
      <c r="V33" s="1069" t="str">
        <f t="shared" si="4"/>
        <v/>
      </c>
      <c r="W33" s="4"/>
    </row>
    <row r="34" spans="1:23" ht="18.75" customHeight="1">
      <c r="A34" s="4"/>
      <c r="B34" s="596" t="s">
        <v>411</v>
      </c>
      <c r="C34" s="1056"/>
      <c r="D34" s="1068"/>
      <c r="E34" s="1098"/>
      <c r="F34" s="1068"/>
      <c r="G34" s="1098"/>
      <c r="H34" s="1057"/>
      <c r="I34" s="1099"/>
      <c r="J34" s="1100" t="str">
        <f t="shared" si="0"/>
        <v/>
      </c>
      <c r="K34" s="1070" t="str">
        <f t="shared" si="5"/>
        <v/>
      </c>
      <c r="L34" s="1069" t="str">
        <f>IFERROR(IF(K34="", "", K34*'(参考)排出係数'!$F$3), "")</f>
        <v/>
      </c>
      <c r="M34" s="1056"/>
      <c r="N34" s="1068"/>
      <c r="O34" s="1098"/>
      <c r="P34" s="1057"/>
      <c r="Q34" s="1099"/>
      <c r="R34" s="1101" t="str">
        <f t="shared" si="6"/>
        <v/>
      </c>
      <c r="S34" s="1069" t="str">
        <f t="shared" si="2"/>
        <v/>
      </c>
      <c r="T34" s="1069" t="str">
        <f>IFERROR(IF(S34="", "", S34*'(参考)排出係数'!$F$3), "")</f>
        <v/>
      </c>
      <c r="U34" s="1069" t="str">
        <f t="shared" si="3"/>
        <v/>
      </c>
      <c r="V34" s="1069" t="str">
        <f t="shared" si="4"/>
        <v/>
      </c>
      <c r="W34" s="4"/>
    </row>
    <row r="35" spans="1:23" ht="18.75" customHeight="1">
      <c r="A35" s="4"/>
      <c r="B35" s="596" t="s">
        <v>412</v>
      </c>
      <c r="C35" s="1056"/>
      <c r="D35" s="1068"/>
      <c r="E35" s="1098"/>
      <c r="F35" s="1068"/>
      <c r="G35" s="1098"/>
      <c r="H35" s="1057"/>
      <c r="I35" s="1099"/>
      <c r="J35" s="1100" t="str">
        <f t="shared" si="0"/>
        <v/>
      </c>
      <c r="K35" s="1070" t="str">
        <f t="shared" si="5"/>
        <v/>
      </c>
      <c r="L35" s="1069" t="str">
        <f>IFERROR(IF(K35="", "", K35*'(参考)排出係数'!$F$3), "")</f>
        <v/>
      </c>
      <c r="M35" s="1056"/>
      <c r="N35" s="1068"/>
      <c r="O35" s="1098"/>
      <c r="P35" s="1057"/>
      <c r="Q35" s="1099"/>
      <c r="R35" s="1101" t="str">
        <f t="shared" si="1"/>
        <v/>
      </c>
      <c r="S35" s="1069" t="str">
        <f t="shared" si="2"/>
        <v/>
      </c>
      <c r="T35" s="1069" t="str">
        <f>IFERROR(IF(S35="", "", S35*'(参考)排出係数'!$F$3), "")</f>
        <v/>
      </c>
      <c r="U35" s="1069" t="str">
        <f t="shared" si="3"/>
        <v/>
      </c>
      <c r="V35" s="1069" t="str">
        <f t="shared" si="4"/>
        <v/>
      </c>
      <c r="W35" s="4"/>
    </row>
    <row r="36" spans="1:23" ht="18.75" customHeight="1">
      <c r="A36" s="4"/>
      <c r="B36" s="4"/>
      <c r="C36" s="4"/>
      <c r="D36" s="4"/>
      <c r="E36" s="4"/>
      <c r="F36" s="4"/>
      <c r="G36" s="4"/>
      <c r="H36" s="4"/>
      <c r="I36" s="4"/>
      <c r="J36" s="4"/>
      <c r="K36" s="4"/>
      <c r="L36" s="4"/>
      <c r="M36" s="4"/>
      <c r="N36" s="4"/>
      <c r="O36" s="4"/>
      <c r="P36" s="4"/>
      <c r="Q36" s="4"/>
      <c r="R36" s="4"/>
      <c r="S36" s="4"/>
      <c r="T36" s="4"/>
      <c r="U36" s="4"/>
      <c r="V36" s="4"/>
      <c r="W36" s="4"/>
    </row>
    <row r="37" spans="1:23" ht="18.75" customHeight="1">
      <c r="A37" s="4"/>
      <c r="B37" s="4"/>
      <c r="C37" s="4"/>
      <c r="D37" s="4"/>
      <c r="E37" s="4"/>
      <c r="F37" s="4"/>
      <c r="G37" s="4"/>
      <c r="H37" s="4"/>
      <c r="I37" s="4"/>
      <c r="J37" s="4"/>
      <c r="K37" s="4"/>
      <c r="L37" s="4"/>
      <c r="M37" s="4"/>
      <c r="N37" s="4"/>
      <c r="O37" s="4"/>
      <c r="P37" s="4"/>
      <c r="Q37" s="4"/>
      <c r="R37" s="4"/>
      <c r="S37" s="4"/>
      <c r="T37" s="4"/>
      <c r="U37" s="4"/>
      <c r="V37" s="4"/>
      <c r="W37" s="4"/>
    </row>
    <row r="38" spans="1:23" ht="18.75" customHeight="1">
      <c r="A38" s="4"/>
      <c r="B38" s="4"/>
      <c r="C38" s="4"/>
      <c r="D38" s="4"/>
      <c r="E38" s="4"/>
      <c r="F38" s="4"/>
      <c r="G38" s="4"/>
      <c r="H38" s="4"/>
      <c r="I38" s="4"/>
      <c r="J38" s="4"/>
      <c r="K38" s="4"/>
      <c r="L38" s="4"/>
      <c r="M38" s="4"/>
      <c r="N38" s="4"/>
      <c r="O38" s="4"/>
      <c r="P38" s="4"/>
      <c r="Q38" s="4"/>
      <c r="R38" s="4"/>
      <c r="S38" s="4"/>
      <c r="T38" s="4"/>
      <c r="U38" s="4"/>
      <c r="V38" s="4"/>
      <c r="W38" s="4"/>
    </row>
    <row r="39" spans="1:23" ht="18.75" customHeight="1">
      <c r="A39" s="4"/>
      <c r="B39" s="4"/>
      <c r="C39" s="4"/>
      <c r="D39" s="4"/>
      <c r="E39" s="4"/>
      <c r="F39" s="4"/>
      <c r="G39" s="4"/>
      <c r="H39" s="4"/>
      <c r="I39" s="4"/>
      <c r="J39" s="4"/>
      <c r="K39" s="4"/>
      <c r="L39" s="4"/>
      <c r="M39" s="4"/>
      <c r="N39" s="4"/>
      <c r="O39" s="4"/>
      <c r="P39" s="4"/>
      <c r="Q39" s="4"/>
      <c r="R39" s="4"/>
      <c r="S39" s="4"/>
      <c r="T39" s="4"/>
      <c r="U39" s="4"/>
      <c r="V39" s="4"/>
      <c r="W39" s="4"/>
    </row>
    <row r="40" spans="1:23" ht="18.75" customHeight="1">
      <c r="A40" s="4"/>
      <c r="B40" s="4"/>
      <c r="C40" s="4"/>
      <c r="D40" s="4"/>
      <c r="E40" s="4"/>
      <c r="F40" s="4"/>
      <c r="G40" s="4"/>
      <c r="H40" s="4"/>
      <c r="I40" s="4"/>
      <c r="J40" s="4"/>
      <c r="K40" s="4"/>
      <c r="L40" s="4"/>
      <c r="M40" s="4"/>
      <c r="N40" s="4"/>
      <c r="O40" s="4"/>
      <c r="P40" s="4"/>
      <c r="Q40" s="4"/>
      <c r="R40" s="4"/>
      <c r="S40" s="4"/>
      <c r="T40" s="4"/>
      <c r="U40" s="4"/>
      <c r="V40" s="4"/>
      <c r="W40" s="4"/>
    </row>
    <row r="41" spans="1:23" ht="18.75" customHeight="1">
      <c r="A41" s="4"/>
      <c r="B41" s="4"/>
      <c r="C41" s="4"/>
      <c r="D41" s="4"/>
      <c r="E41" s="4"/>
      <c r="F41" s="4"/>
      <c r="G41" s="4"/>
      <c r="H41" s="4"/>
      <c r="I41" s="4"/>
      <c r="J41" s="4"/>
      <c r="K41" s="4"/>
      <c r="L41" s="4"/>
      <c r="M41" s="4"/>
      <c r="N41" s="4"/>
      <c r="O41" s="4"/>
      <c r="P41" s="4"/>
      <c r="Q41" s="4"/>
      <c r="R41" s="4"/>
      <c r="S41" s="4"/>
      <c r="T41" s="4"/>
      <c r="U41" s="4"/>
      <c r="V41" s="4"/>
      <c r="W41" s="4"/>
    </row>
  </sheetData>
  <protectedRanges>
    <protectedRange sqref="L4:U4" name="範囲2"/>
    <protectedRange sqref="C16:I35 M16:Q35" name="範囲1"/>
  </protectedRanges>
  <mergeCells count="7">
    <mergeCell ref="H4:I4"/>
    <mergeCell ref="H7:I7"/>
    <mergeCell ref="B11:B12"/>
    <mergeCell ref="M7:U7"/>
    <mergeCell ref="L6:U6"/>
    <mergeCell ref="H6:I6"/>
    <mergeCell ref="H5:I5"/>
  </mergeCells>
  <phoneticPr fontId="2"/>
  <conditionalFormatting sqref="I16:I35">
    <cfRule type="expression" dxfId="62" priority="2">
      <formula>$H16=""</formula>
    </cfRule>
    <cfRule type="expression" dxfId="61" priority="7">
      <formula>$H16="○"</formula>
    </cfRule>
  </conditionalFormatting>
  <conditionalFormatting sqref="M7:U7">
    <cfRule type="expression" dxfId="60" priority="22">
      <formula>$L$7="増加"</formula>
    </cfRule>
  </conditionalFormatting>
  <conditionalFormatting sqref="O15">
    <cfRule type="expression" dxfId="59" priority="5">
      <formula>$O$15&gt;$E$15</formula>
    </cfRule>
  </conditionalFormatting>
  <conditionalFormatting sqref="Q16:Q35">
    <cfRule type="expression" dxfId="58" priority="1">
      <formula>$P16=""</formula>
    </cfRule>
    <cfRule type="expression" dxfId="57" priority="6">
      <formula>$P16="○"</formula>
    </cfRule>
  </conditionalFormatting>
  <dataValidations count="1">
    <dataValidation type="list" allowBlank="1" showInputMessage="1" showErrorMessage="1" sqref="P14:P35 H14:H35" xr:uid="{92A0DDAD-9EB5-42CF-8302-2262675BA6C0}">
      <formula1>"○"</formula1>
    </dataValidation>
  </dataValidations>
  <pageMargins left="0.7" right="0.7" top="0.75" bottom="0.75" header="0.3" footer="0.3"/>
  <pageSetup paperSize="9" scale="59" orientation="landscape" horizontalDpi="0" verticalDpi="0" r:id="rId1"/>
  <ignoredErrors>
    <ignoredError sqref="J6"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BEF9-A247-44CD-9E68-71BF36CB306C}">
  <sheetPr codeName="Sheet8">
    <pageSetUpPr fitToPage="1"/>
  </sheetPr>
  <dimension ref="A1:AE49"/>
  <sheetViews>
    <sheetView zoomScaleNormal="100" workbookViewId="0">
      <pane ySplit="1" topLeftCell="A2" activePane="bottomLeft" state="frozen"/>
      <selection pane="bottomLeft" activeCell="A2" sqref="A2"/>
    </sheetView>
  </sheetViews>
  <sheetFormatPr defaultColWidth="9" defaultRowHeight="13"/>
  <cols>
    <col min="1" max="1" width="3.58203125" style="1" customWidth="1"/>
    <col min="2" max="2" width="7.58203125" style="1" customWidth="1"/>
    <col min="3" max="32" width="10.58203125" style="1" customWidth="1"/>
    <col min="33" max="16384" width="9" style="1"/>
  </cols>
  <sheetData>
    <row r="1" spans="1:31" ht="29.25" customHeight="1">
      <c r="A1" s="107" t="s">
        <v>175</v>
      </c>
      <c r="B1" s="4"/>
      <c r="C1" s="4"/>
      <c r="D1" s="4"/>
      <c r="E1" s="4"/>
      <c r="F1" s="4"/>
      <c r="G1" s="4"/>
      <c r="H1" s="4"/>
      <c r="I1" s="4"/>
      <c r="J1" s="4"/>
      <c r="K1" s="4"/>
      <c r="L1" s="4"/>
      <c r="M1" s="4"/>
      <c r="N1" s="4"/>
      <c r="O1" s="4"/>
      <c r="P1" s="4"/>
      <c r="Q1" s="4"/>
      <c r="R1" s="4"/>
      <c r="S1" s="4"/>
      <c r="T1" s="4"/>
      <c r="U1" s="4"/>
      <c r="V1" s="4"/>
      <c r="W1" s="4"/>
      <c r="X1" s="4"/>
      <c r="Y1" s="4"/>
      <c r="Z1" s="4"/>
      <c r="AA1" s="4"/>
      <c r="AB1" s="4"/>
      <c r="AC1" s="4"/>
      <c r="AD1" s="4"/>
      <c r="AE1" s="4"/>
    </row>
    <row r="2" spans="1:31" s="85" customFormat="1" ht="18.75" customHeight="1">
      <c r="A2" s="33"/>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85" customFormat="1" ht="18.75" customHeight="1">
      <c r="A3" s="33"/>
      <c r="B3" s="33"/>
      <c r="C3" s="96" t="s">
        <v>15</v>
      </c>
      <c r="D3" s="97"/>
      <c r="E3" s="90" t="s">
        <v>7</v>
      </c>
      <c r="F3" s="90" t="s">
        <v>54</v>
      </c>
      <c r="G3" s="90" t="s">
        <v>74</v>
      </c>
      <c r="H3" s="84" t="s">
        <v>75</v>
      </c>
      <c r="I3" s="90" t="s">
        <v>76</v>
      </c>
      <c r="J3" s="33"/>
      <c r="K3" s="33"/>
      <c r="L3" s="96" t="s">
        <v>674</v>
      </c>
      <c r="M3" s="437"/>
      <c r="N3" s="437"/>
      <c r="O3" s="437"/>
      <c r="P3" s="437"/>
      <c r="Q3" s="437"/>
      <c r="R3" s="437"/>
      <c r="S3" s="437"/>
      <c r="T3" s="437"/>
      <c r="U3" s="97"/>
      <c r="V3" s="33"/>
      <c r="W3" s="33"/>
      <c r="X3" s="33"/>
      <c r="Y3" s="33"/>
      <c r="Z3" s="33"/>
      <c r="AA3" s="33"/>
      <c r="AB3" s="33"/>
      <c r="AC3" s="33"/>
      <c r="AD3" s="33"/>
    </row>
    <row r="4" spans="1:31" s="85" customFormat="1" ht="18.75" customHeight="1">
      <c r="A4" s="33"/>
      <c r="B4" s="33"/>
      <c r="C4" s="96" t="s">
        <v>69</v>
      </c>
      <c r="D4" s="97"/>
      <c r="E4" s="90" t="s">
        <v>73</v>
      </c>
      <c r="F4" s="326">
        <f>Q17</f>
        <v>0</v>
      </c>
      <c r="G4" s="326">
        <f>AA17</f>
        <v>0</v>
      </c>
      <c r="H4" s="326">
        <f>F4-G4</f>
        <v>0</v>
      </c>
      <c r="I4" s="632">
        <f>IF(OR(F4=0,H4=0),0,H4/F4)</f>
        <v>0</v>
      </c>
      <c r="J4" s="33"/>
      <c r="K4" s="33"/>
      <c r="L4" s="431"/>
      <c r="M4" s="432"/>
      <c r="N4" s="432"/>
      <c r="O4" s="432"/>
      <c r="P4" s="432"/>
      <c r="Q4" s="432"/>
      <c r="R4" s="432"/>
      <c r="S4" s="432"/>
      <c r="T4" s="432"/>
      <c r="U4" s="433"/>
      <c r="V4" s="33"/>
      <c r="W4" s="33"/>
      <c r="X4" s="33"/>
      <c r="Y4" s="33"/>
      <c r="Z4" s="33"/>
      <c r="AA4" s="33"/>
      <c r="AB4" s="33"/>
      <c r="AC4" s="33"/>
      <c r="AD4" s="33"/>
    </row>
    <row r="5" spans="1:31" s="85" customFormat="1" ht="18.75" customHeight="1">
      <c r="A5" s="33"/>
      <c r="B5" s="33"/>
      <c r="C5" s="96" t="s">
        <v>71</v>
      </c>
      <c r="D5" s="97"/>
      <c r="E5" s="90" t="s">
        <v>72</v>
      </c>
      <c r="F5" s="326">
        <f>R17</f>
        <v>0</v>
      </c>
      <c r="G5" s="326">
        <f>AB17</f>
        <v>0</v>
      </c>
      <c r="H5" s="326">
        <f>F5-G5</f>
        <v>0</v>
      </c>
      <c r="I5" s="632">
        <f t="shared" ref="I5:I7" si="0">IF(OR(F5=0,H5=0),0,H5/F5)</f>
        <v>0</v>
      </c>
      <c r="J5" s="33"/>
      <c r="K5" s="33"/>
      <c r="L5" s="33"/>
      <c r="M5" s="33"/>
      <c r="N5" s="33"/>
      <c r="O5" s="33"/>
      <c r="P5" s="33"/>
      <c r="Q5" s="33"/>
      <c r="R5" s="33"/>
      <c r="S5" s="33"/>
      <c r="T5" s="33"/>
      <c r="U5" s="33"/>
      <c r="V5" s="33"/>
      <c r="W5" s="33"/>
      <c r="X5" s="33"/>
      <c r="Y5" s="33"/>
      <c r="Z5" s="33"/>
      <c r="AA5" s="33"/>
      <c r="AB5" s="33"/>
      <c r="AC5" s="33"/>
      <c r="AD5" s="33"/>
    </row>
    <row r="6" spans="1:31" s="85" customFormat="1" ht="18.75" customHeight="1">
      <c r="A6" s="33"/>
      <c r="B6" s="33"/>
      <c r="C6" s="84" t="s">
        <v>157</v>
      </c>
      <c r="D6" s="84"/>
      <c r="E6" s="90" t="s">
        <v>158</v>
      </c>
      <c r="F6" s="327">
        <f>F4*【共通】事業所の光熱費!$H$6</f>
        <v>0</v>
      </c>
      <c r="G6" s="327">
        <f>G4*【共通】事業所の光熱費!$H$6</f>
        <v>0</v>
      </c>
      <c r="H6" s="326">
        <f>F6-G6</f>
        <v>0</v>
      </c>
      <c r="I6" s="632">
        <f t="shared" si="0"/>
        <v>0</v>
      </c>
      <c r="J6" s="33"/>
      <c r="K6" s="33"/>
      <c r="L6" s="96" t="s">
        <v>675</v>
      </c>
      <c r="M6" s="437"/>
      <c r="N6" s="437"/>
      <c r="O6" s="437"/>
      <c r="P6" s="437"/>
      <c r="Q6" s="437"/>
      <c r="R6" s="437"/>
      <c r="S6" s="437"/>
      <c r="T6" s="437"/>
      <c r="U6" s="97"/>
      <c r="V6" s="33"/>
      <c r="W6" s="33"/>
      <c r="X6" s="33"/>
      <c r="Y6" s="33"/>
      <c r="Z6" s="33"/>
      <c r="AA6" s="33"/>
      <c r="AB6" s="33"/>
      <c r="AC6" s="33"/>
      <c r="AD6" s="33"/>
    </row>
    <row r="7" spans="1:31" s="85" customFormat="1" ht="18.75" customHeight="1">
      <c r="A7" s="33"/>
      <c r="B7" s="33"/>
      <c r="C7" s="84" t="s">
        <v>375</v>
      </c>
      <c r="D7" s="84"/>
      <c r="E7" s="90" t="s">
        <v>163</v>
      </c>
      <c r="F7" s="515">
        <f>F4*'(参考)排出係数'!$C$3*0.0000258</f>
        <v>0</v>
      </c>
      <c r="G7" s="515">
        <f>G4*'(参考)排出係数'!$C$3*0.0000258</f>
        <v>0</v>
      </c>
      <c r="H7" s="515">
        <f>F7-G7</f>
        <v>0</v>
      </c>
      <c r="I7" s="632">
        <f t="shared" si="0"/>
        <v>0</v>
      </c>
      <c r="J7" s="33"/>
      <c r="K7" s="33"/>
      <c r="L7" s="84" t="s">
        <v>676</v>
      </c>
      <c r="M7" s="84"/>
      <c r="N7" s="90" t="s">
        <v>678</v>
      </c>
      <c r="O7" s="90" t="s">
        <v>679</v>
      </c>
      <c r="P7" s="1809" t="str">
        <f>IF(OR(OR(N8="",O8=""),AND(N8="なし",O8="なし")),"－",IF(COUNTIF(N8:O8,"増加")&gt;0,"やむを得ず増加する場合は特記事項欄に理由を記載してください。","減少する理由を特記事項欄に記載してください。"))</f>
        <v>－</v>
      </c>
      <c r="Q7" s="1810"/>
      <c r="R7" s="1810"/>
      <c r="S7" s="1810"/>
      <c r="T7" s="1810"/>
      <c r="U7" s="1811"/>
      <c r="V7" s="33"/>
      <c r="W7" s="33"/>
      <c r="X7" s="33"/>
      <c r="Y7" s="33"/>
      <c r="Z7" s="33"/>
      <c r="AA7" s="33"/>
      <c r="AB7" s="33"/>
      <c r="AC7" s="33"/>
      <c r="AD7" s="33"/>
    </row>
    <row r="8" spans="1:31" s="85" customFormat="1" ht="18.75" customHeight="1">
      <c r="A8" s="33"/>
      <c r="B8" s="33"/>
      <c r="C8" s="1818" t="s">
        <v>376</v>
      </c>
      <c r="D8" s="1818"/>
      <c r="E8" s="1818"/>
      <c r="F8" s="1818"/>
      <c r="G8" s="1818"/>
      <c r="H8" s="605"/>
      <c r="I8" s="33"/>
      <c r="J8" s="33"/>
      <c r="K8" s="33"/>
      <c r="L8" s="84" t="s">
        <v>677</v>
      </c>
      <c r="M8" s="84"/>
      <c r="N8" s="286" t="str">
        <f>IF(OR(G17=0,U17=0),"",IF(G17=U17,"なし",IF(G17&gt;U17,"減少","増加")))</f>
        <v/>
      </c>
      <c r="O8" s="286" t="str">
        <f>IF(OR(L17=0,X17=0),"",IF(L17=X17,"なし",IF(L17&gt;X17,"減少","増加")))</f>
        <v/>
      </c>
      <c r="P8" s="1812"/>
      <c r="Q8" s="1813"/>
      <c r="R8" s="1813"/>
      <c r="S8" s="1813"/>
      <c r="T8" s="1813"/>
      <c r="U8" s="1814"/>
      <c r="V8" s="33"/>
      <c r="W8" s="33"/>
      <c r="Y8" s="33"/>
      <c r="Z8" s="33"/>
      <c r="AA8" s="33"/>
      <c r="AB8" s="33"/>
      <c r="AC8" s="33"/>
      <c r="AD8" s="33"/>
    </row>
    <row r="9" spans="1:31" s="85" customFormat="1" ht="18.75" customHeight="1">
      <c r="A9" s="33"/>
      <c r="B9" s="33"/>
      <c r="C9" s="33"/>
      <c r="D9" s="33"/>
      <c r="E9" s="33"/>
      <c r="F9" s="33"/>
      <c r="G9" s="33"/>
      <c r="H9" s="33"/>
      <c r="I9" s="33"/>
      <c r="J9" s="33"/>
      <c r="K9" s="33"/>
      <c r="L9" s="33"/>
      <c r="M9" s="33"/>
      <c r="N9" s="33"/>
      <c r="O9" s="33"/>
      <c r="P9" s="33"/>
      <c r="Q9" s="33"/>
      <c r="R9" s="33"/>
      <c r="S9" s="33"/>
      <c r="T9" s="33"/>
      <c r="U9" s="33"/>
      <c r="V9" s="33"/>
      <c r="W9" s="33"/>
      <c r="Y9" s="33"/>
      <c r="Z9" s="33"/>
      <c r="AA9" s="33"/>
      <c r="AB9" s="33"/>
      <c r="AC9" s="33"/>
      <c r="AD9" s="33"/>
      <c r="AE9" s="33"/>
    </row>
    <row r="10" spans="1:31" s="85" customFormat="1" ht="18.75" customHeight="1">
      <c r="A10" s="33"/>
      <c r="B10" s="33"/>
      <c r="C10" s="33"/>
      <c r="D10" s="33"/>
      <c r="E10" s="33"/>
      <c r="G10" s="1762" t="s">
        <v>859</v>
      </c>
      <c r="H10" s="1763"/>
      <c r="I10" s="1763"/>
      <c r="J10" s="1764"/>
      <c r="K10" s="33"/>
      <c r="L10" s="33"/>
      <c r="M10" s="33"/>
      <c r="N10" s="33"/>
      <c r="O10" s="33"/>
      <c r="P10" s="33"/>
      <c r="Q10" s="33"/>
      <c r="R10" s="33"/>
      <c r="S10" s="33"/>
      <c r="T10" s="33"/>
      <c r="U10" s="33"/>
      <c r="V10" s="33"/>
      <c r="W10" s="33"/>
      <c r="X10" s="33"/>
      <c r="Y10" s="33"/>
      <c r="Z10" s="33"/>
      <c r="AA10" s="33"/>
      <c r="AB10" s="33"/>
      <c r="AC10" s="33"/>
      <c r="AD10" s="33"/>
      <c r="AE10" s="33"/>
    </row>
    <row r="11" spans="1:31" s="85" customFormat="1" ht="18.75" customHeight="1">
      <c r="A11" s="33"/>
      <c r="B11" s="33"/>
      <c r="C11" s="439" t="s">
        <v>43</v>
      </c>
      <c r="D11" s="440" t="s">
        <v>668</v>
      </c>
      <c r="E11" s="441" t="s">
        <v>723</v>
      </c>
      <c r="F11" s="33"/>
      <c r="G11" s="555" t="s">
        <v>596</v>
      </c>
      <c r="H11" s="606">
        <v>0.5</v>
      </c>
      <c r="I11" s="555" t="s">
        <v>597</v>
      </c>
      <c r="J11" s="606">
        <v>0.4</v>
      </c>
      <c r="K11" s="33" t="s">
        <v>863</v>
      </c>
      <c r="L11" s="33"/>
      <c r="M11" s="33"/>
      <c r="N11" s="33"/>
      <c r="O11" s="33"/>
      <c r="P11" s="33"/>
      <c r="Q11" s="33"/>
      <c r="R11" s="33"/>
      <c r="S11" s="33" t="s">
        <v>681</v>
      </c>
      <c r="T11" s="33"/>
      <c r="U11" s="33"/>
      <c r="V11" s="33"/>
      <c r="W11" s="33"/>
      <c r="X11" s="33"/>
      <c r="Y11" s="33"/>
      <c r="Z11" s="33" t="s">
        <v>683</v>
      </c>
      <c r="AA11" s="33"/>
      <c r="AB11" s="33"/>
      <c r="AC11" s="33"/>
      <c r="AD11" s="33"/>
      <c r="AE11" s="33"/>
    </row>
    <row r="12" spans="1:31" s="85" customFormat="1" ht="18.75" customHeight="1">
      <c r="A12" s="33"/>
      <c r="B12" s="1815" t="s">
        <v>336</v>
      </c>
      <c r="C12" s="328" t="s">
        <v>119</v>
      </c>
      <c r="D12" s="329"/>
      <c r="E12" s="329"/>
      <c r="F12" s="329"/>
      <c r="G12" s="330"/>
      <c r="H12" s="330"/>
      <c r="I12" s="330"/>
      <c r="J12" s="330"/>
      <c r="K12" s="330"/>
      <c r="L12" s="330"/>
      <c r="M12" s="330"/>
      <c r="N12" s="330"/>
      <c r="O12" s="330"/>
      <c r="P12" s="330"/>
      <c r="Q12" s="330"/>
      <c r="R12" s="331"/>
      <c r="S12" s="332" t="s">
        <v>114</v>
      </c>
      <c r="T12" s="333"/>
      <c r="U12" s="334"/>
      <c r="V12" s="334"/>
      <c r="W12" s="334"/>
      <c r="X12" s="334"/>
      <c r="Y12" s="334"/>
      <c r="Z12" s="334"/>
      <c r="AA12" s="334"/>
      <c r="AB12" s="335"/>
      <c r="AC12" s="336" t="s">
        <v>125</v>
      </c>
      <c r="AD12" s="337"/>
      <c r="AE12" s="33"/>
    </row>
    <row r="13" spans="1:31" s="85" customFormat="1" ht="18.75" customHeight="1">
      <c r="A13" s="33"/>
      <c r="B13" s="1816"/>
      <c r="C13" s="338"/>
      <c r="D13" s="339"/>
      <c r="E13" s="339"/>
      <c r="F13" s="340"/>
      <c r="G13" s="341" t="s">
        <v>105</v>
      </c>
      <c r="H13" s="330"/>
      <c r="I13" s="330"/>
      <c r="J13" s="330"/>
      <c r="K13" s="331"/>
      <c r="L13" s="341" t="s">
        <v>106</v>
      </c>
      <c r="M13" s="330"/>
      <c r="N13" s="330"/>
      <c r="O13" s="330"/>
      <c r="P13" s="331"/>
      <c r="Q13" s="341" t="s">
        <v>113</v>
      </c>
      <c r="R13" s="331"/>
      <c r="S13" s="342"/>
      <c r="T13" s="343"/>
      <c r="U13" s="344" t="s">
        <v>105</v>
      </c>
      <c r="V13" s="334"/>
      <c r="W13" s="335"/>
      <c r="X13" s="345" t="s">
        <v>117</v>
      </c>
      <c r="Y13" s="334"/>
      <c r="Z13" s="335"/>
      <c r="AA13" s="344" t="s">
        <v>118</v>
      </c>
      <c r="AB13" s="335"/>
      <c r="AC13" s="346"/>
      <c r="AD13" s="347"/>
      <c r="AE13" s="33"/>
    </row>
    <row r="14" spans="1:31" s="89" customFormat="1" ht="45" customHeight="1">
      <c r="A14" s="108"/>
      <c r="B14" s="1817"/>
      <c r="C14" s="45" t="s">
        <v>44</v>
      </c>
      <c r="D14" s="45" t="s">
        <v>92</v>
      </c>
      <c r="E14" s="45" t="s">
        <v>93</v>
      </c>
      <c r="F14" s="45" t="s">
        <v>94</v>
      </c>
      <c r="G14" s="42" t="s">
        <v>95</v>
      </c>
      <c r="H14" s="45" t="s">
        <v>614</v>
      </c>
      <c r="I14" s="45" t="s">
        <v>98</v>
      </c>
      <c r="J14" s="45" t="s">
        <v>99</v>
      </c>
      <c r="K14" s="45" t="s">
        <v>615</v>
      </c>
      <c r="L14" s="42" t="s">
        <v>96</v>
      </c>
      <c r="M14" s="45" t="s">
        <v>616</v>
      </c>
      <c r="N14" s="45" t="s">
        <v>98</v>
      </c>
      <c r="O14" s="45" t="s">
        <v>99</v>
      </c>
      <c r="P14" s="45" t="s">
        <v>617</v>
      </c>
      <c r="Q14" s="45" t="s">
        <v>355</v>
      </c>
      <c r="R14" s="45" t="s">
        <v>618</v>
      </c>
      <c r="S14" s="86" t="s">
        <v>97</v>
      </c>
      <c r="T14" s="86" t="s">
        <v>116</v>
      </c>
      <c r="U14" s="86" t="s">
        <v>96</v>
      </c>
      <c r="V14" s="86" t="s">
        <v>619</v>
      </c>
      <c r="W14" s="86" t="s">
        <v>620</v>
      </c>
      <c r="X14" s="86" t="s">
        <v>96</v>
      </c>
      <c r="Y14" s="86" t="s">
        <v>680</v>
      </c>
      <c r="Z14" s="86" t="s">
        <v>622</v>
      </c>
      <c r="AA14" s="86" t="s">
        <v>356</v>
      </c>
      <c r="AB14" s="86" t="s">
        <v>682</v>
      </c>
      <c r="AC14" s="88" t="s">
        <v>126</v>
      </c>
      <c r="AD14" s="88" t="s">
        <v>127</v>
      </c>
      <c r="AE14" s="108"/>
    </row>
    <row r="15" spans="1:31" s="89" customFormat="1" ht="18.75" customHeight="1">
      <c r="A15" s="108"/>
      <c r="B15" s="43" t="s">
        <v>7</v>
      </c>
      <c r="C15" s="42" t="s">
        <v>45</v>
      </c>
      <c r="D15" s="42" t="s">
        <v>120</v>
      </c>
      <c r="E15" s="45" t="s">
        <v>107</v>
      </c>
      <c r="F15" s="42"/>
      <c r="G15" s="42" t="s">
        <v>108</v>
      </c>
      <c r="H15" s="42" t="s">
        <v>112</v>
      </c>
      <c r="I15" s="42" t="s">
        <v>109</v>
      </c>
      <c r="J15" s="42" t="s">
        <v>110</v>
      </c>
      <c r="K15" s="42" t="s">
        <v>111</v>
      </c>
      <c r="L15" s="42" t="s">
        <v>108</v>
      </c>
      <c r="M15" s="42" t="s">
        <v>112</v>
      </c>
      <c r="N15" s="42" t="s">
        <v>109</v>
      </c>
      <c r="O15" s="42" t="s">
        <v>110</v>
      </c>
      <c r="P15" s="42" t="s">
        <v>111</v>
      </c>
      <c r="Q15" s="42" t="s">
        <v>123</v>
      </c>
      <c r="R15" s="42" t="s">
        <v>608</v>
      </c>
      <c r="S15" s="87" t="s">
        <v>122</v>
      </c>
      <c r="T15" s="86" t="s">
        <v>107</v>
      </c>
      <c r="U15" s="87" t="s">
        <v>108</v>
      </c>
      <c r="V15" s="87" t="s">
        <v>112</v>
      </c>
      <c r="W15" s="87" t="s">
        <v>111</v>
      </c>
      <c r="X15" s="87" t="s">
        <v>108</v>
      </c>
      <c r="Y15" s="87" t="s">
        <v>112</v>
      </c>
      <c r="Z15" s="87" t="s">
        <v>111</v>
      </c>
      <c r="AA15" s="87" t="s">
        <v>123</v>
      </c>
      <c r="AB15" s="87" t="s">
        <v>608</v>
      </c>
      <c r="AC15" s="90" t="s">
        <v>123</v>
      </c>
      <c r="AD15" s="90" t="s">
        <v>608</v>
      </c>
      <c r="AE15" s="108"/>
    </row>
    <row r="16" spans="1:31" s="448" customFormat="1" ht="18.75" customHeight="1" thickBot="1">
      <c r="A16" s="447"/>
      <c r="B16" s="921" t="s">
        <v>77</v>
      </c>
      <c r="C16" s="1103" t="s">
        <v>50</v>
      </c>
      <c r="D16" s="1104">
        <v>2020</v>
      </c>
      <c r="E16" s="1104">
        <v>5</v>
      </c>
      <c r="F16" s="1105">
        <f>IF(D16="",1,MIN(1.5,(2026-D16)*0.05+1))</f>
        <v>1.3</v>
      </c>
      <c r="G16" s="1130">
        <v>26</v>
      </c>
      <c r="H16" s="1130">
        <v>8.11</v>
      </c>
      <c r="I16" s="1130">
        <v>8</v>
      </c>
      <c r="J16" s="1104">
        <v>60</v>
      </c>
      <c r="K16" s="1106">
        <f>I16*J16</f>
        <v>480</v>
      </c>
      <c r="L16" s="1130">
        <v>30</v>
      </c>
      <c r="M16" s="1130">
        <v>8.5</v>
      </c>
      <c r="N16" s="1130">
        <v>8</v>
      </c>
      <c r="O16" s="1104">
        <v>80</v>
      </c>
      <c r="P16" s="1106">
        <f>N16*O16</f>
        <v>640</v>
      </c>
      <c r="Q16" s="1106">
        <f>H16*F16*E16*K16*$H$11+M16*F16*E16*P16*$J$11</f>
        <v>26795.599999999999</v>
      </c>
      <c r="R16" s="1106">
        <f>Q16*'(参考)排出係数'!$F$3</f>
        <v>11522.107999999998</v>
      </c>
      <c r="S16" s="1103" t="s">
        <v>115</v>
      </c>
      <c r="T16" s="1104">
        <v>5</v>
      </c>
      <c r="U16" s="1130">
        <v>26</v>
      </c>
      <c r="V16" s="1130">
        <v>7.8</v>
      </c>
      <c r="W16" s="1106">
        <f>IF(K16=0,0,K16)</f>
        <v>480</v>
      </c>
      <c r="X16" s="1130">
        <v>30</v>
      </c>
      <c r="Y16" s="1130">
        <v>8.3000000000000007</v>
      </c>
      <c r="Z16" s="1106">
        <f>IF(P16=0,0,P16)</f>
        <v>640</v>
      </c>
      <c r="AA16" s="1107">
        <f>V16*T16*W16*$H$11+Y16*T16*Z16*$J$11</f>
        <v>19984</v>
      </c>
      <c r="AB16" s="1107">
        <f>AA16*'(参考)排出係数'!$F$3</f>
        <v>8593.119999999999</v>
      </c>
      <c r="AC16" s="1107">
        <f>Q16-AA16</f>
        <v>6811.5999999999985</v>
      </c>
      <c r="AD16" s="1107">
        <f>R16-AB16</f>
        <v>2928.9879999999994</v>
      </c>
      <c r="AE16" s="447"/>
    </row>
    <row r="17" spans="1:31" s="85" customFormat="1" ht="18.75" customHeight="1" thickTop="1" thickBot="1">
      <c r="A17" s="33"/>
      <c r="B17" s="924" t="s">
        <v>67</v>
      </c>
      <c r="C17" s="1108"/>
      <c r="D17" s="1109"/>
      <c r="E17" s="1110">
        <f>SUM(E18:E37)</f>
        <v>0</v>
      </c>
      <c r="F17" s="1109"/>
      <c r="G17" s="1112" cm="1">
        <f t="array" ref="G17">SUMPRODUCT($E18:$E37*$G18:$G37)</f>
        <v>0</v>
      </c>
      <c r="H17" s="1112" cm="1">
        <f t="array" ref="H17">SUMPRODUCT($E18:$E37*$H18:$H37)</f>
        <v>0</v>
      </c>
      <c r="I17" s="1131"/>
      <c r="J17" s="1109"/>
      <c r="K17" s="1111">
        <f>SUM(K18:K37)</f>
        <v>0</v>
      </c>
      <c r="L17" s="1112" cm="1">
        <f t="array" ref="L17">SUMPRODUCT($E18:$E37*$L18:$L37)</f>
        <v>0</v>
      </c>
      <c r="M17" s="1112" cm="1">
        <f t="array" ref="M17">SUMPRODUCT($E18:$E37*$M18:$M37)</f>
        <v>0</v>
      </c>
      <c r="N17" s="1131"/>
      <c r="O17" s="1109"/>
      <c r="P17" s="1111">
        <f>SUM(P18:P37)</f>
        <v>0</v>
      </c>
      <c r="Q17" s="1111">
        <f>SUM(Q18:Q37)</f>
        <v>0</v>
      </c>
      <c r="R17" s="1111">
        <f>SUM(R18:R37)</f>
        <v>0</v>
      </c>
      <c r="S17" s="1108"/>
      <c r="T17" s="1110">
        <f>SUM(T18:T37)</f>
        <v>0</v>
      </c>
      <c r="U17" s="1112" cm="1">
        <f t="array" ref="U17">SUMPRODUCT($T18:$T37*$U18:$U37)</f>
        <v>0</v>
      </c>
      <c r="V17" s="1112" cm="1">
        <f t="array" ref="V17">SUMPRODUCT($T18:$T37*$V18:$V37)</f>
        <v>0</v>
      </c>
      <c r="W17" s="1111">
        <f>SUM(W18:W37)</f>
        <v>0</v>
      </c>
      <c r="X17" s="1112" cm="1">
        <f t="array" ref="X17">SUMPRODUCT($T18:$T37*$X18:$X37)</f>
        <v>0</v>
      </c>
      <c r="Y17" s="1112" cm="1">
        <f t="array" ref="Y17">SUMPRODUCT($T18:$T37*$Y18:$Y37)</f>
        <v>0</v>
      </c>
      <c r="Z17" s="1111">
        <f>SUM(Z18:Z37)</f>
        <v>0</v>
      </c>
      <c r="AA17" s="1112">
        <f>SUM(AA18:AA37)</f>
        <v>0</v>
      </c>
      <c r="AB17" s="1112">
        <f>SUM(AB18:AB37)</f>
        <v>0</v>
      </c>
      <c r="AC17" s="1112">
        <f>SUM(AC18:AC37)</f>
        <v>0</v>
      </c>
      <c r="AD17" s="1113">
        <f>SUM(AD18:AD37)</f>
        <v>0</v>
      </c>
      <c r="AE17" s="33"/>
    </row>
    <row r="18" spans="1:31" s="85" customFormat="1" ht="18.75" customHeight="1" thickTop="1">
      <c r="A18" s="33"/>
      <c r="B18" s="1035" t="s">
        <v>177</v>
      </c>
      <c r="C18" s="1114"/>
      <c r="D18" s="1115"/>
      <c r="E18" s="1115"/>
      <c r="F18" s="1116">
        <f t="shared" ref="F18:F37" si="1">IF(D18="",1,MIN(1.5,(2026-D18)*0.05+1))</f>
        <v>1</v>
      </c>
      <c r="G18" s="1132"/>
      <c r="H18" s="1132"/>
      <c r="I18" s="1132"/>
      <c r="J18" s="1117"/>
      <c r="K18" s="1118">
        <f t="shared" ref="K18:K37" si="2">I18*J18</f>
        <v>0</v>
      </c>
      <c r="L18" s="1132"/>
      <c r="M18" s="1132"/>
      <c r="N18" s="1132"/>
      <c r="O18" s="1117"/>
      <c r="P18" s="1118">
        <f>N18*O18</f>
        <v>0</v>
      </c>
      <c r="Q18" s="1118">
        <f t="shared" ref="Q18:Q37" si="3">H18*F18*E18*K18*$H$11+M18*F18*E18*P18*$J$11</f>
        <v>0</v>
      </c>
      <c r="R18" s="1118">
        <f>Q18*'(参考)排出係数'!$F$3</f>
        <v>0</v>
      </c>
      <c r="S18" s="1114"/>
      <c r="T18" s="1115"/>
      <c r="U18" s="1132"/>
      <c r="V18" s="1132"/>
      <c r="W18" s="1118">
        <f t="shared" ref="W18:W37" si="4">IF(K18=0,0,K18)</f>
        <v>0</v>
      </c>
      <c r="X18" s="1132"/>
      <c r="Y18" s="1132"/>
      <c r="Z18" s="1118">
        <f t="shared" ref="Z18:Z26" si="5">IF(P18=0,0,P18)</f>
        <v>0</v>
      </c>
      <c r="AA18" s="1119">
        <f t="shared" ref="AA18:AA37" si="6">V18*T18*W18*$H$11+Y18*T18*Z18*$J$11</f>
        <v>0</v>
      </c>
      <c r="AB18" s="1119">
        <f>AA18*'(参考)排出係数'!$F$3</f>
        <v>0</v>
      </c>
      <c r="AC18" s="1119">
        <f t="shared" ref="AC18:AC26" si="7">Q18-AA18</f>
        <v>0</v>
      </c>
      <c r="AD18" s="1119">
        <f t="shared" ref="AD18:AD26" si="8">R18-AB18</f>
        <v>0</v>
      </c>
      <c r="AE18" s="33"/>
    </row>
    <row r="19" spans="1:31" s="85" customFormat="1" ht="18.75" customHeight="1">
      <c r="A19" s="33"/>
      <c r="B19" s="865" t="s">
        <v>178</v>
      </c>
      <c r="C19" s="1120"/>
      <c r="D19" s="1047"/>
      <c r="E19" s="1047"/>
      <c r="F19" s="1121">
        <f t="shared" si="1"/>
        <v>1</v>
      </c>
      <c r="G19" s="1133"/>
      <c r="H19" s="1133"/>
      <c r="I19" s="1133"/>
      <c r="J19" s="1122"/>
      <c r="K19" s="1123">
        <f t="shared" si="2"/>
        <v>0</v>
      </c>
      <c r="L19" s="1133"/>
      <c r="M19" s="1133"/>
      <c r="N19" s="1133"/>
      <c r="O19" s="1122"/>
      <c r="P19" s="1123">
        <f t="shared" ref="P19:P26" si="9">N19*O19</f>
        <v>0</v>
      </c>
      <c r="Q19" s="1123">
        <f t="shared" si="3"/>
        <v>0</v>
      </c>
      <c r="R19" s="1123">
        <f>Q19*'(参考)排出係数'!$F$3</f>
        <v>0</v>
      </c>
      <c r="S19" s="1120"/>
      <c r="T19" s="1047"/>
      <c r="U19" s="1133"/>
      <c r="V19" s="1133"/>
      <c r="W19" s="1123">
        <f t="shared" si="4"/>
        <v>0</v>
      </c>
      <c r="X19" s="1133"/>
      <c r="Y19" s="1133"/>
      <c r="Z19" s="1123">
        <f t="shared" si="5"/>
        <v>0</v>
      </c>
      <c r="AA19" s="1124">
        <f t="shared" si="6"/>
        <v>0</v>
      </c>
      <c r="AB19" s="1124">
        <f>AA19*'(参考)排出係数'!$F$3</f>
        <v>0</v>
      </c>
      <c r="AC19" s="1124">
        <f t="shared" si="7"/>
        <v>0</v>
      </c>
      <c r="AD19" s="1124">
        <f t="shared" si="8"/>
        <v>0</v>
      </c>
      <c r="AE19" s="33"/>
    </row>
    <row r="20" spans="1:31" s="85" customFormat="1" ht="18.75" customHeight="1">
      <c r="A20" s="33"/>
      <c r="B20" s="865" t="s">
        <v>179</v>
      </c>
      <c r="C20" s="1120"/>
      <c r="D20" s="1047"/>
      <c r="E20" s="1047"/>
      <c r="F20" s="1121">
        <f t="shared" si="1"/>
        <v>1</v>
      </c>
      <c r="G20" s="1133"/>
      <c r="H20" s="1133"/>
      <c r="I20" s="1133"/>
      <c r="J20" s="1122"/>
      <c r="K20" s="1123">
        <f t="shared" si="2"/>
        <v>0</v>
      </c>
      <c r="L20" s="1133"/>
      <c r="M20" s="1133"/>
      <c r="N20" s="1133"/>
      <c r="O20" s="1122"/>
      <c r="P20" s="1123">
        <f t="shared" si="9"/>
        <v>0</v>
      </c>
      <c r="Q20" s="1123">
        <f t="shared" si="3"/>
        <v>0</v>
      </c>
      <c r="R20" s="1123">
        <f>Q20*'(参考)排出係数'!$F$3</f>
        <v>0</v>
      </c>
      <c r="S20" s="1120"/>
      <c r="T20" s="1047"/>
      <c r="U20" s="1133"/>
      <c r="V20" s="1133"/>
      <c r="W20" s="1123">
        <f t="shared" si="4"/>
        <v>0</v>
      </c>
      <c r="X20" s="1133"/>
      <c r="Y20" s="1133"/>
      <c r="Z20" s="1123">
        <f t="shared" si="5"/>
        <v>0</v>
      </c>
      <c r="AA20" s="1124">
        <f t="shared" si="6"/>
        <v>0</v>
      </c>
      <c r="AB20" s="1124">
        <f>AA20*'(参考)排出係数'!$F$3</f>
        <v>0</v>
      </c>
      <c r="AC20" s="1124">
        <f t="shared" si="7"/>
        <v>0</v>
      </c>
      <c r="AD20" s="1124">
        <f t="shared" si="8"/>
        <v>0</v>
      </c>
      <c r="AE20" s="33"/>
    </row>
    <row r="21" spans="1:31" s="85" customFormat="1" ht="18.75" customHeight="1">
      <c r="A21" s="33"/>
      <c r="B21" s="865" t="s">
        <v>180</v>
      </c>
      <c r="C21" s="1120"/>
      <c r="D21" s="1047"/>
      <c r="E21" s="1047"/>
      <c r="F21" s="1121">
        <f t="shared" si="1"/>
        <v>1</v>
      </c>
      <c r="G21" s="1133"/>
      <c r="H21" s="1133"/>
      <c r="I21" s="1133"/>
      <c r="J21" s="1122"/>
      <c r="K21" s="1123">
        <f t="shared" si="2"/>
        <v>0</v>
      </c>
      <c r="L21" s="1133"/>
      <c r="M21" s="1133"/>
      <c r="N21" s="1133"/>
      <c r="O21" s="1122"/>
      <c r="P21" s="1123">
        <f t="shared" si="9"/>
        <v>0</v>
      </c>
      <c r="Q21" s="1123">
        <f t="shared" si="3"/>
        <v>0</v>
      </c>
      <c r="R21" s="1123">
        <f>Q21*'(参考)排出係数'!$F$3</f>
        <v>0</v>
      </c>
      <c r="S21" s="1120"/>
      <c r="T21" s="1047"/>
      <c r="U21" s="1133"/>
      <c r="V21" s="1133"/>
      <c r="W21" s="1123">
        <f t="shared" si="4"/>
        <v>0</v>
      </c>
      <c r="X21" s="1133"/>
      <c r="Y21" s="1133"/>
      <c r="Z21" s="1123">
        <f t="shared" si="5"/>
        <v>0</v>
      </c>
      <c r="AA21" s="1124">
        <f t="shared" si="6"/>
        <v>0</v>
      </c>
      <c r="AB21" s="1124">
        <f>AA21*'(参考)排出係数'!$F$3</f>
        <v>0</v>
      </c>
      <c r="AC21" s="1124">
        <f t="shared" si="7"/>
        <v>0</v>
      </c>
      <c r="AD21" s="1124">
        <f t="shared" si="8"/>
        <v>0</v>
      </c>
      <c r="AE21" s="33"/>
    </row>
    <row r="22" spans="1:31" s="85" customFormat="1" ht="18.75" customHeight="1">
      <c r="A22" s="33"/>
      <c r="B22" s="865" t="s">
        <v>181</v>
      </c>
      <c r="C22" s="1120"/>
      <c r="D22" s="1047"/>
      <c r="E22" s="1047"/>
      <c r="F22" s="1121">
        <f t="shared" si="1"/>
        <v>1</v>
      </c>
      <c r="G22" s="1133"/>
      <c r="H22" s="1133"/>
      <c r="I22" s="1133"/>
      <c r="J22" s="1122"/>
      <c r="K22" s="1123">
        <f t="shared" si="2"/>
        <v>0</v>
      </c>
      <c r="L22" s="1133"/>
      <c r="M22" s="1133"/>
      <c r="N22" s="1133"/>
      <c r="O22" s="1122"/>
      <c r="P22" s="1123">
        <f t="shared" si="9"/>
        <v>0</v>
      </c>
      <c r="Q22" s="1123">
        <f t="shared" si="3"/>
        <v>0</v>
      </c>
      <c r="R22" s="1123">
        <f>Q22*'(参考)排出係数'!$F$3</f>
        <v>0</v>
      </c>
      <c r="S22" s="1120"/>
      <c r="T22" s="1047"/>
      <c r="U22" s="1133"/>
      <c r="V22" s="1133"/>
      <c r="W22" s="1123">
        <f t="shared" si="4"/>
        <v>0</v>
      </c>
      <c r="X22" s="1133"/>
      <c r="Y22" s="1133"/>
      <c r="Z22" s="1123">
        <f t="shared" si="5"/>
        <v>0</v>
      </c>
      <c r="AA22" s="1124">
        <f t="shared" si="6"/>
        <v>0</v>
      </c>
      <c r="AB22" s="1124">
        <f>AA22*'(参考)排出係数'!$F$3</f>
        <v>0</v>
      </c>
      <c r="AC22" s="1124">
        <f t="shared" si="7"/>
        <v>0</v>
      </c>
      <c r="AD22" s="1124">
        <f t="shared" si="8"/>
        <v>0</v>
      </c>
      <c r="AE22" s="33"/>
    </row>
    <row r="23" spans="1:31" s="85" customFormat="1" ht="18.75" customHeight="1">
      <c r="A23" s="33"/>
      <c r="B23" s="865" t="s">
        <v>182</v>
      </c>
      <c r="C23" s="1120"/>
      <c r="D23" s="1047"/>
      <c r="E23" s="1047"/>
      <c r="F23" s="1121">
        <f t="shared" si="1"/>
        <v>1</v>
      </c>
      <c r="G23" s="1133"/>
      <c r="H23" s="1133"/>
      <c r="I23" s="1133"/>
      <c r="J23" s="1122"/>
      <c r="K23" s="1123">
        <f t="shared" si="2"/>
        <v>0</v>
      </c>
      <c r="L23" s="1133"/>
      <c r="M23" s="1133"/>
      <c r="N23" s="1133"/>
      <c r="O23" s="1122"/>
      <c r="P23" s="1123">
        <f t="shared" si="9"/>
        <v>0</v>
      </c>
      <c r="Q23" s="1123">
        <f t="shared" si="3"/>
        <v>0</v>
      </c>
      <c r="R23" s="1123">
        <f>Q23*'(参考)排出係数'!$F$3</f>
        <v>0</v>
      </c>
      <c r="S23" s="1120"/>
      <c r="T23" s="1047"/>
      <c r="U23" s="1133"/>
      <c r="V23" s="1133"/>
      <c r="W23" s="1123">
        <f t="shared" si="4"/>
        <v>0</v>
      </c>
      <c r="X23" s="1133"/>
      <c r="Y23" s="1133"/>
      <c r="Z23" s="1123">
        <f t="shared" si="5"/>
        <v>0</v>
      </c>
      <c r="AA23" s="1124">
        <f t="shared" si="6"/>
        <v>0</v>
      </c>
      <c r="AB23" s="1124">
        <f>AA23*'(参考)排出係数'!$F$3</f>
        <v>0</v>
      </c>
      <c r="AC23" s="1124">
        <f t="shared" si="7"/>
        <v>0</v>
      </c>
      <c r="AD23" s="1124">
        <f t="shared" si="8"/>
        <v>0</v>
      </c>
      <c r="AE23" s="33"/>
    </row>
    <row r="24" spans="1:31" s="85" customFormat="1" ht="18.75" customHeight="1">
      <c r="A24" s="33"/>
      <c r="B24" s="865" t="s">
        <v>183</v>
      </c>
      <c r="C24" s="1120"/>
      <c r="D24" s="1047"/>
      <c r="E24" s="1047"/>
      <c r="F24" s="1121">
        <f t="shared" si="1"/>
        <v>1</v>
      </c>
      <c r="G24" s="1133"/>
      <c r="H24" s="1133"/>
      <c r="I24" s="1133"/>
      <c r="J24" s="1122"/>
      <c r="K24" s="1123">
        <f t="shared" si="2"/>
        <v>0</v>
      </c>
      <c r="L24" s="1133"/>
      <c r="M24" s="1133"/>
      <c r="N24" s="1133"/>
      <c r="O24" s="1122"/>
      <c r="P24" s="1123">
        <f t="shared" si="9"/>
        <v>0</v>
      </c>
      <c r="Q24" s="1123">
        <f t="shared" si="3"/>
        <v>0</v>
      </c>
      <c r="R24" s="1123">
        <f>Q24*'(参考)排出係数'!$F$3</f>
        <v>0</v>
      </c>
      <c r="S24" s="1120"/>
      <c r="T24" s="1047"/>
      <c r="U24" s="1133"/>
      <c r="V24" s="1133"/>
      <c r="W24" s="1123">
        <f t="shared" si="4"/>
        <v>0</v>
      </c>
      <c r="X24" s="1133"/>
      <c r="Y24" s="1133"/>
      <c r="Z24" s="1123">
        <f t="shared" si="5"/>
        <v>0</v>
      </c>
      <c r="AA24" s="1124">
        <f t="shared" si="6"/>
        <v>0</v>
      </c>
      <c r="AB24" s="1124">
        <f>AA24*'(参考)排出係数'!$F$3</f>
        <v>0</v>
      </c>
      <c r="AC24" s="1124">
        <f t="shared" si="7"/>
        <v>0</v>
      </c>
      <c r="AD24" s="1124">
        <f t="shared" si="8"/>
        <v>0</v>
      </c>
      <c r="AE24" s="33"/>
    </row>
    <row r="25" spans="1:31" s="85" customFormat="1" ht="18.75" customHeight="1">
      <c r="A25" s="33"/>
      <c r="B25" s="865" t="s">
        <v>184</v>
      </c>
      <c r="C25" s="1120"/>
      <c r="D25" s="1047"/>
      <c r="E25" s="1047"/>
      <c r="F25" s="1121">
        <f t="shared" si="1"/>
        <v>1</v>
      </c>
      <c r="G25" s="1133"/>
      <c r="H25" s="1133"/>
      <c r="I25" s="1133"/>
      <c r="J25" s="1122"/>
      <c r="K25" s="1123">
        <f t="shared" si="2"/>
        <v>0</v>
      </c>
      <c r="L25" s="1133"/>
      <c r="M25" s="1133"/>
      <c r="N25" s="1133"/>
      <c r="O25" s="1122"/>
      <c r="P25" s="1123">
        <f t="shared" si="9"/>
        <v>0</v>
      </c>
      <c r="Q25" s="1123">
        <f t="shared" si="3"/>
        <v>0</v>
      </c>
      <c r="R25" s="1123">
        <f>Q25*'(参考)排出係数'!$F$3</f>
        <v>0</v>
      </c>
      <c r="S25" s="1120"/>
      <c r="T25" s="1047"/>
      <c r="U25" s="1133"/>
      <c r="V25" s="1133"/>
      <c r="W25" s="1123">
        <f t="shared" si="4"/>
        <v>0</v>
      </c>
      <c r="X25" s="1133"/>
      <c r="Y25" s="1133"/>
      <c r="Z25" s="1123">
        <f t="shared" si="5"/>
        <v>0</v>
      </c>
      <c r="AA25" s="1124">
        <f t="shared" si="6"/>
        <v>0</v>
      </c>
      <c r="AB25" s="1124">
        <f>AA25*'(参考)排出係数'!$F$3</f>
        <v>0</v>
      </c>
      <c r="AC25" s="1124">
        <f t="shared" si="7"/>
        <v>0</v>
      </c>
      <c r="AD25" s="1124">
        <f t="shared" si="8"/>
        <v>0</v>
      </c>
      <c r="AE25" s="33"/>
    </row>
    <row r="26" spans="1:31" s="85" customFormat="1" ht="18.75" customHeight="1">
      <c r="A26" s="33"/>
      <c r="B26" s="865" t="s">
        <v>185</v>
      </c>
      <c r="C26" s="1120"/>
      <c r="D26" s="1047"/>
      <c r="E26" s="1047"/>
      <c r="F26" s="1121">
        <f t="shared" si="1"/>
        <v>1</v>
      </c>
      <c r="G26" s="1133"/>
      <c r="H26" s="1133"/>
      <c r="I26" s="1133"/>
      <c r="J26" s="1122"/>
      <c r="K26" s="1123">
        <f t="shared" si="2"/>
        <v>0</v>
      </c>
      <c r="L26" s="1133"/>
      <c r="M26" s="1133"/>
      <c r="N26" s="1133"/>
      <c r="O26" s="1122"/>
      <c r="P26" s="1123">
        <f t="shared" si="9"/>
        <v>0</v>
      </c>
      <c r="Q26" s="1123">
        <f t="shared" si="3"/>
        <v>0</v>
      </c>
      <c r="R26" s="1123">
        <f>Q26*'(参考)排出係数'!$F$3</f>
        <v>0</v>
      </c>
      <c r="S26" s="1120"/>
      <c r="T26" s="1047"/>
      <c r="U26" s="1133"/>
      <c r="V26" s="1133"/>
      <c r="W26" s="1123">
        <f t="shared" si="4"/>
        <v>0</v>
      </c>
      <c r="X26" s="1133"/>
      <c r="Y26" s="1133"/>
      <c r="Z26" s="1123">
        <f t="shared" si="5"/>
        <v>0</v>
      </c>
      <c r="AA26" s="1124">
        <f t="shared" si="6"/>
        <v>0</v>
      </c>
      <c r="AB26" s="1124">
        <f>AA26*'(参考)排出係数'!$F$3</f>
        <v>0</v>
      </c>
      <c r="AC26" s="1124">
        <f t="shared" si="7"/>
        <v>0</v>
      </c>
      <c r="AD26" s="1124">
        <f t="shared" si="8"/>
        <v>0</v>
      </c>
      <c r="AE26" s="33"/>
    </row>
    <row r="27" spans="1:31" s="85" customFormat="1" ht="18.75" customHeight="1">
      <c r="A27" s="33"/>
      <c r="B27" s="865" t="s">
        <v>186</v>
      </c>
      <c r="C27" s="1120"/>
      <c r="D27" s="1047"/>
      <c r="E27" s="1047"/>
      <c r="F27" s="1121">
        <f t="shared" si="1"/>
        <v>1</v>
      </c>
      <c r="G27" s="1133"/>
      <c r="H27" s="1133"/>
      <c r="I27" s="1133"/>
      <c r="J27" s="1122"/>
      <c r="K27" s="1123">
        <f t="shared" si="2"/>
        <v>0</v>
      </c>
      <c r="L27" s="1133"/>
      <c r="M27" s="1133"/>
      <c r="N27" s="1133"/>
      <c r="O27" s="1122"/>
      <c r="P27" s="1123">
        <f t="shared" ref="P27:P37" si="10">N27*O27</f>
        <v>0</v>
      </c>
      <c r="Q27" s="1123">
        <f t="shared" si="3"/>
        <v>0</v>
      </c>
      <c r="R27" s="1123">
        <f>Q27*'(参考)排出係数'!$F$3</f>
        <v>0</v>
      </c>
      <c r="S27" s="1120"/>
      <c r="T27" s="1047"/>
      <c r="U27" s="1133"/>
      <c r="V27" s="1133"/>
      <c r="W27" s="1123">
        <f t="shared" si="4"/>
        <v>0</v>
      </c>
      <c r="X27" s="1133"/>
      <c r="Y27" s="1133"/>
      <c r="Z27" s="1123">
        <f t="shared" ref="Z27:Z37" si="11">IF(P27=0,0,P27)</f>
        <v>0</v>
      </c>
      <c r="AA27" s="1124">
        <f t="shared" si="6"/>
        <v>0</v>
      </c>
      <c r="AB27" s="1124">
        <f>AA27*'(参考)排出係数'!$F$3</f>
        <v>0</v>
      </c>
      <c r="AC27" s="1124">
        <f t="shared" ref="AC27:AC37" si="12">Q27-AA27</f>
        <v>0</v>
      </c>
      <c r="AD27" s="1124">
        <f t="shared" ref="AD27:AD37" si="13">R27-AB27</f>
        <v>0</v>
      </c>
      <c r="AE27" s="33"/>
    </row>
    <row r="28" spans="1:31" s="85" customFormat="1" ht="18.75" customHeight="1">
      <c r="A28" s="33"/>
      <c r="B28" s="865" t="s">
        <v>403</v>
      </c>
      <c r="C28" s="1120"/>
      <c r="D28" s="1047"/>
      <c r="E28" s="1047"/>
      <c r="F28" s="1121">
        <f>IF(D28="",1,MIN(1.5,(2026-D28)*0.05+1))</f>
        <v>1</v>
      </c>
      <c r="G28" s="1133"/>
      <c r="H28" s="1133"/>
      <c r="I28" s="1133"/>
      <c r="J28" s="1122"/>
      <c r="K28" s="1123">
        <f t="shared" si="2"/>
        <v>0</v>
      </c>
      <c r="L28" s="1133"/>
      <c r="M28" s="1133"/>
      <c r="N28" s="1133"/>
      <c r="O28" s="1122"/>
      <c r="P28" s="1123">
        <f t="shared" si="10"/>
        <v>0</v>
      </c>
      <c r="Q28" s="1123">
        <f t="shared" si="3"/>
        <v>0</v>
      </c>
      <c r="R28" s="1123">
        <f>Q28*'(参考)排出係数'!$F$3</f>
        <v>0</v>
      </c>
      <c r="S28" s="1120"/>
      <c r="T28" s="1047"/>
      <c r="U28" s="1133"/>
      <c r="V28" s="1133"/>
      <c r="W28" s="1123">
        <f t="shared" si="4"/>
        <v>0</v>
      </c>
      <c r="X28" s="1133"/>
      <c r="Y28" s="1133"/>
      <c r="Z28" s="1123">
        <f t="shared" si="11"/>
        <v>0</v>
      </c>
      <c r="AA28" s="1124">
        <f t="shared" si="6"/>
        <v>0</v>
      </c>
      <c r="AB28" s="1124">
        <f>AA28*'(参考)排出係数'!$F$3</f>
        <v>0</v>
      </c>
      <c r="AC28" s="1124">
        <f t="shared" si="12"/>
        <v>0</v>
      </c>
      <c r="AD28" s="1124">
        <f t="shared" si="13"/>
        <v>0</v>
      </c>
      <c r="AE28" s="33"/>
    </row>
    <row r="29" spans="1:31" s="85" customFormat="1" ht="18.75" customHeight="1">
      <c r="A29" s="33"/>
      <c r="B29" s="865" t="s">
        <v>404</v>
      </c>
      <c r="C29" s="1120"/>
      <c r="D29" s="1047"/>
      <c r="E29" s="1047"/>
      <c r="F29" s="1121">
        <f t="shared" si="1"/>
        <v>1</v>
      </c>
      <c r="G29" s="1133"/>
      <c r="H29" s="1133"/>
      <c r="I29" s="1133"/>
      <c r="J29" s="1122"/>
      <c r="K29" s="1123">
        <f t="shared" si="2"/>
        <v>0</v>
      </c>
      <c r="L29" s="1133"/>
      <c r="M29" s="1133"/>
      <c r="N29" s="1133"/>
      <c r="O29" s="1122"/>
      <c r="P29" s="1123">
        <f t="shared" si="10"/>
        <v>0</v>
      </c>
      <c r="Q29" s="1123">
        <f t="shared" si="3"/>
        <v>0</v>
      </c>
      <c r="R29" s="1123">
        <f>Q29*'(参考)排出係数'!$F$3</f>
        <v>0</v>
      </c>
      <c r="S29" s="1120"/>
      <c r="T29" s="1047"/>
      <c r="U29" s="1133"/>
      <c r="V29" s="1133"/>
      <c r="W29" s="1123">
        <f t="shared" si="4"/>
        <v>0</v>
      </c>
      <c r="X29" s="1133"/>
      <c r="Y29" s="1133"/>
      <c r="Z29" s="1123">
        <f t="shared" si="11"/>
        <v>0</v>
      </c>
      <c r="AA29" s="1124">
        <f t="shared" si="6"/>
        <v>0</v>
      </c>
      <c r="AB29" s="1124">
        <f>AA29*'(参考)排出係数'!$F$3</f>
        <v>0</v>
      </c>
      <c r="AC29" s="1124">
        <f t="shared" si="12"/>
        <v>0</v>
      </c>
      <c r="AD29" s="1124">
        <f t="shared" si="13"/>
        <v>0</v>
      </c>
      <c r="AE29" s="33"/>
    </row>
    <row r="30" spans="1:31" s="85" customFormat="1" ht="18.75" customHeight="1">
      <c r="A30" s="33"/>
      <c r="B30" s="865" t="s">
        <v>405</v>
      </c>
      <c r="C30" s="1120"/>
      <c r="D30" s="1047"/>
      <c r="E30" s="1047"/>
      <c r="F30" s="1121">
        <f t="shared" si="1"/>
        <v>1</v>
      </c>
      <c r="G30" s="1133"/>
      <c r="H30" s="1133"/>
      <c r="I30" s="1133"/>
      <c r="J30" s="1122"/>
      <c r="K30" s="1123">
        <f t="shared" si="2"/>
        <v>0</v>
      </c>
      <c r="L30" s="1133"/>
      <c r="M30" s="1133"/>
      <c r="N30" s="1133"/>
      <c r="O30" s="1122"/>
      <c r="P30" s="1123">
        <f t="shared" si="10"/>
        <v>0</v>
      </c>
      <c r="Q30" s="1123">
        <f t="shared" si="3"/>
        <v>0</v>
      </c>
      <c r="R30" s="1123">
        <f>Q30*'(参考)排出係数'!$F$3</f>
        <v>0</v>
      </c>
      <c r="S30" s="1120"/>
      <c r="T30" s="1047"/>
      <c r="U30" s="1133"/>
      <c r="V30" s="1133"/>
      <c r="W30" s="1123">
        <f t="shared" si="4"/>
        <v>0</v>
      </c>
      <c r="X30" s="1133"/>
      <c r="Y30" s="1133"/>
      <c r="Z30" s="1123">
        <f t="shared" si="11"/>
        <v>0</v>
      </c>
      <c r="AA30" s="1124">
        <f t="shared" si="6"/>
        <v>0</v>
      </c>
      <c r="AB30" s="1124">
        <f>AA30*'(参考)排出係数'!$F$3</f>
        <v>0</v>
      </c>
      <c r="AC30" s="1124">
        <f t="shared" si="12"/>
        <v>0</v>
      </c>
      <c r="AD30" s="1124">
        <f t="shared" si="13"/>
        <v>0</v>
      </c>
      <c r="AE30" s="33"/>
    </row>
    <row r="31" spans="1:31" s="85" customFormat="1" ht="18.75" customHeight="1">
      <c r="A31" s="33"/>
      <c r="B31" s="865" t="s">
        <v>406</v>
      </c>
      <c r="C31" s="1120"/>
      <c r="D31" s="1047"/>
      <c r="E31" s="1047"/>
      <c r="F31" s="1121">
        <f t="shared" si="1"/>
        <v>1</v>
      </c>
      <c r="G31" s="1133"/>
      <c r="H31" s="1133"/>
      <c r="I31" s="1133"/>
      <c r="J31" s="1122"/>
      <c r="K31" s="1123">
        <f t="shared" si="2"/>
        <v>0</v>
      </c>
      <c r="L31" s="1133"/>
      <c r="M31" s="1133"/>
      <c r="N31" s="1133"/>
      <c r="O31" s="1122"/>
      <c r="P31" s="1123">
        <f t="shared" si="10"/>
        <v>0</v>
      </c>
      <c r="Q31" s="1123">
        <f t="shared" si="3"/>
        <v>0</v>
      </c>
      <c r="R31" s="1123">
        <f>Q31*'(参考)排出係数'!$F$3</f>
        <v>0</v>
      </c>
      <c r="S31" s="1120"/>
      <c r="T31" s="1047"/>
      <c r="U31" s="1133"/>
      <c r="V31" s="1133"/>
      <c r="W31" s="1123">
        <f t="shared" si="4"/>
        <v>0</v>
      </c>
      <c r="X31" s="1133"/>
      <c r="Y31" s="1133"/>
      <c r="Z31" s="1123">
        <f t="shared" si="11"/>
        <v>0</v>
      </c>
      <c r="AA31" s="1124">
        <f t="shared" si="6"/>
        <v>0</v>
      </c>
      <c r="AB31" s="1124">
        <f>AA31*'(参考)排出係数'!$F$3</f>
        <v>0</v>
      </c>
      <c r="AC31" s="1124">
        <f t="shared" si="12"/>
        <v>0</v>
      </c>
      <c r="AD31" s="1124">
        <f t="shared" si="13"/>
        <v>0</v>
      </c>
      <c r="AE31" s="33"/>
    </row>
    <row r="32" spans="1:31" s="85" customFormat="1" ht="18.75" customHeight="1">
      <c r="A32" s="33"/>
      <c r="B32" s="865" t="s">
        <v>407</v>
      </c>
      <c r="C32" s="1120"/>
      <c r="D32" s="1047"/>
      <c r="E32" s="1047"/>
      <c r="F32" s="1121">
        <f t="shared" si="1"/>
        <v>1</v>
      </c>
      <c r="G32" s="1133"/>
      <c r="H32" s="1133"/>
      <c r="I32" s="1133"/>
      <c r="J32" s="1122"/>
      <c r="K32" s="1123">
        <f t="shared" si="2"/>
        <v>0</v>
      </c>
      <c r="L32" s="1133"/>
      <c r="M32" s="1133"/>
      <c r="N32" s="1133"/>
      <c r="O32" s="1122"/>
      <c r="P32" s="1123">
        <f t="shared" si="10"/>
        <v>0</v>
      </c>
      <c r="Q32" s="1123">
        <f t="shared" si="3"/>
        <v>0</v>
      </c>
      <c r="R32" s="1123">
        <f>Q32*'(参考)排出係数'!$F$3</f>
        <v>0</v>
      </c>
      <c r="S32" s="1120"/>
      <c r="T32" s="1047"/>
      <c r="U32" s="1133"/>
      <c r="V32" s="1133"/>
      <c r="W32" s="1123">
        <f t="shared" si="4"/>
        <v>0</v>
      </c>
      <c r="X32" s="1133"/>
      <c r="Y32" s="1133"/>
      <c r="Z32" s="1123">
        <f t="shared" si="11"/>
        <v>0</v>
      </c>
      <c r="AA32" s="1124">
        <f t="shared" si="6"/>
        <v>0</v>
      </c>
      <c r="AB32" s="1124">
        <f>AA32*'(参考)排出係数'!$F$3</f>
        <v>0</v>
      </c>
      <c r="AC32" s="1124">
        <f t="shared" si="12"/>
        <v>0</v>
      </c>
      <c r="AD32" s="1124">
        <f t="shared" si="13"/>
        <v>0</v>
      </c>
      <c r="AE32" s="33"/>
    </row>
    <row r="33" spans="1:31" s="85" customFormat="1" ht="18.75" customHeight="1">
      <c r="A33" s="33"/>
      <c r="B33" s="865" t="s">
        <v>408</v>
      </c>
      <c r="C33" s="1120"/>
      <c r="D33" s="1047"/>
      <c r="E33" s="1047"/>
      <c r="F33" s="1121">
        <f t="shared" si="1"/>
        <v>1</v>
      </c>
      <c r="G33" s="1133"/>
      <c r="H33" s="1133"/>
      <c r="I33" s="1133"/>
      <c r="J33" s="1122"/>
      <c r="K33" s="1123">
        <f t="shared" si="2"/>
        <v>0</v>
      </c>
      <c r="L33" s="1133"/>
      <c r="M33" s="1133"/>
      <c r="N33" s="1133"/>
      <c r="O33" s="1122"/>
      <c r="P33" s="1123">
        <f t="shared" si="10"/>
        <v>0</v>
      </c>
      <c r="Q33" s="1123">
        <f t="shared" si="3"/>
        <v>0</v>
      </c>
      <c r="R33" s="1123">
        <f>Q33*'(参考)排出係数'!$F$3</f>
        <v>0</v>
      </c>
      <c r="S33" s="1120"/>
      <c r="T33" s="1047"/>
      <c r="U33" s="1133"/>
      <c r="V33" s="1133"/>
      <c r="W33" s="1123">
        <f t="shared" si="4"/>
        <v>0</v>
      </c>
      <c r="X33" s="1133"/>
      <c r="Y33" s="1133"/>
      <c r="Z33" s="1123">
        <f t="shared" si="11"/>
        <v>0</v>
      </c>
      <c r="AA33" s="1124">
        <f t="shared" si="6"/>
        <v>0</v>
      </c>
      <c r="AB33" s="1124">
        <f>AA33*'(参考)排出係数'!$F$3</f>
        <v>0</v>
      </c>
      <c r="AC33" s="1124">
        <f t="shared" si="12"/>
        <v>0</v>
      </c>
      <c r="AD33" s="1124">
        <f t="shared" si="13"/>
        <v>0</v>
      </c>
      <c r="AE33" s="33"/>
    </row>
    <row r="34" spans="1:31" s="85" customFormat="1" ht="18.75" customHeight="1">
      <c r="A34" s="33"/>
      <c r="B34" s="865" t="s">
        <v>409</v>
      </c>
      <c r="C34" s="1120"/>
      <c r="D34" s="1047"/>
      <c r="E34" s="1047"/>
      <c r="F34" s="1121">
        <f t="shared" si="1"/>
        <v>1</v>
      </c>
      <c r="G34" s="1133"/>
      <c r="H34" s="1133"/>
      <c r="I34" s="1133"/>
      <c r="J34" s="1122"/>
      <c r="K34" s="1123">
        <f t="shared" si="2"/>
        <v>0</v>
      </c>
      <c r="L34" s="1133"/>
      <c r="M34" s="1133"/>
      <c r="N34" s="1133"/>
      <c r="O34" s="1122"/>
      <c r="P34" s="1123">
        <f t="shared" si="10"/>
        <v>0</v>
      </c>
      <c r="Q34" s="1123">
        <f t="shared" si="3"/>
        <v>0</v>
      </c>
      <c r="R34" s="1123">
        <f>Q34*'(参考)排出係数'!$F$3</f>
        <v>0</v>
      </c>
      <c r="S34" s="1120"/>
      <c r="T34" s="1047"/>
      <c r="U34" s="1133"/>
      <c r="V34" s="1133"/>
      <c r="W34" s="1123">
        <f t="shared" si="4"/>
        <v>0</v>
      </c>
      <c r="X34" s="1133"/>
      <c r="Y34" s="1133"/>
      <c r="Z34" s="1123">
        <f t="shared" si="11"/>
        <v>0</v>
      </c>
      <c r="AA34" s="1124">
        <f t="shared" si="6"/>
        <v>0</v>
      </c>
      <c r="AB34" s="1124">
        <f>AA34*'(参考)排出係数'!$F$3</f>
        <v>0</v>
      </c>
      <c r="AC34" s="1124">
        <f t="shared" si="12"/>
        <v>0</v>
      </c>
      <c r="AD34" s="1124">
        <f t="shared" si="13"/>
        <v>0</v>
      </c>
      <c r="AE34" s="33"/>
    </row>
    <row r="35" spans="1:31" s="85" customFormat="1" ht="18.75" customHeight="1">
      <c r="A35" s="33"/>
      <c r="B35" s="865" t="s">
        <v>410</v>
      </c>
      <c r="C35" s="1120"/>
      <c r="D35" s="1047"/>
      <c r="E35" s="1047"/>
      <c r="F35" s="1121">
        <f t="shared" si="1"/>
        <v>1</v>
      </c>
      <c r="G35" s="1133"/>
      <c r="H35" s="1133"/>
      <c r="I35" s="1133"/>
      <c r="J35" s="1122"/>
      <c r="K35" s="1123">
        <f t="shared" si="2"/>
        <v>0</v>
      </c>
      <c r="L35" s="1133"/>
      <c r="M35" s="1133"/>
      <c r="N35" s="1133"/>
      <c r="O35" s="1122"/>
      <c r="P35" s="1123">
        <f t="shared" si="10"/>
        <v>0</v>
      </c>
      <c r="Q35" s="1123">
        <f t="shared" si="3"/>
        <v>0</v>
      </c>
      <c r="R35" s="1123">
        <f>Q35*'(参考)排出係数'!$F$3</f>
        <v>0</v>
      </c>
      <c r="S35" s="1120"/>
      <c r="T35" s="1047"/>
      <c r="U35" s="1133"/>
      <c r="V35" s="1133"/>
      <c r="W35" s="1123">
        <f t="shared" si="4"/>
        <v>0</v>
      </c>
      <c r="X35" s="1133"/>
      <c r="Y35" s="1133"/>
      <c r="Z35" s="1123">
        <f t="shared" si="11"/>
        <v>0</v>
      </c>
      <c r="AA35" s="1124">
        <f t="shared" si="6"/>
        <v>0</v>
      </c>
      <c r="AB35" s="1124">
        <f>AA35*'(参考)排出係数'!$F$3</f>
        <v>0</v>
      </c>
      <c r="AC35" s="1124">
        <f t="shared" si="12"/>
        <v>0</v>
      </c>
      <c r="AD35" s="1124">
        <f t="shared" si="13"/>
        <v>0</v>
      </c>
      <c r="AE35" s="33"/>
    </row>
    <row r="36" spans="1:31" s="85" customFormat="1" ht="18.75" customHeight="1">
      <c r="A36" s="33"/>
      <c r="B36" s="865" t="s">
        <v>411</v>
      </c>
      <c r="C36" s="1120"/>
      <c r="D36" s="1047"/>
      <c r="E36" s="1047"/>
      <c r="F36" s="1121">
        <f t="shared" si="1"/>
        <v>1</v>
      </c>
      <c r="G36" s="1133"/>
      <c r="H36" s="1133"/>
      <c r="I36" s="1133"/>
      <c r="J36" s="1122"/>
      <c r="K36" s="1123">
        <f t="shared" si="2"/>
        <v>0</v>
      </c>
      <c r="L36" s="1133"/>
      <c r="M36" s="1133"/>
      <c r="N36" s="1133"/>
      <c r="O36" s="1122"/>
      <c r="P36" s="1123">
        <f t="shared" si="10"/>
        <v>0</v>
      </c>
      <c r="Q36" s="1123">
        <f t="shared" si="3"/>
        <v>0</v>
      </c>
      <c r="R36" s="1123">
        <f>Q36*'(参考)排出係数'!$F$3</f>
        <v>0</v>
      </c>
      <c r="S36" s="1120"/>
      <c r="T36" s="1047"/>
      <c r="U36" s="1133"/>
      <c r="V36" s="1133"/>
      <c r="W36" s="1123">
        <f t="shared" si="4"/>
        <v>0</v>
      </c>
      <c r="X36" s="1133"/>
      <c r="Y36" s="1133"/>
      <c r="Z36" s="1123">
        <f t="shared" si="11"/>
        <v>0</v>
      </c>
      <c r="AA36" s="1124">
        <f t="shared" si="6"/>
        <v>0</v>
      </c>
      <c r="AB36" s="1124">
        <f>AA36*'(参考)排出係数'!$F$3</f>
        <v>0</v>
      </c>
      <c r="AC36" s="1124">
        <f t="shared" si="12"/>
        <v>0</v>
      </c>
      <c r="AD36" s="1124">
        <f t="shared" si="13"/>
        <v>0</v>
      </c>
      <c r="AE36" s="33"/>
    </row>
    <row r="37" spans="1:31" s="85" customFormat="1" ht="18.75" customHeight="1">
      <c r="A37" s="33"/>
      <c r="B37" s="865" t="s">
        <v>412</v>
      </c>
      <c r="C37" s="1120"/>
      <c r="D37" s="1047"/>
      <c r="E37" s="1047"/>
      <c r="F37" s="1121">
        <f t="shared" si="1"/>
        <v>1</v>
      </c>
      <c r="G37" s="1133"/>
      <c r="H37" s="1133"/>
      <c r="I37" s="1133"/>
      <c r="J37" s="1122"/>
      <c r="K37" s="1123">
        <f t="shared" si="2"/>
        <v>0</v>
      </c>
      <c r="L37" s="1133"/>
      <c r="M37" s="1133"/>
      <c r="N37" s="1133"/>
      <c r="O37" s="1122"/>
      <c r="P37" s="1123">
        <f t="shared" si="10"/>
        <v>0</v>
      </c>
      <c r="Q37" s="1123">
        <f t="shared" si="3"/>
        <v>0</v>
      </c>
      <c r="R37" s="1123">
        <f>Q37*'(参考)排出係数'!$F$3</f>
        <v>0</v>
      </c>
      <c r="S37" s="1120"/>
      <c r="T37" s="1047"/>
      <c r="U37" s="1133"/>
      <c r="V37" s="1133"/>
      <c r="W37" s="1123">
        <f t="shared" si="4"/>
        <v>0</v>
      </c>
      <c r="X37" s="1133"/>
      <c r="Y37" s="1133"/>
      <c r="Z37" s="1123">
        <f t="shared" si="11"/>
        <v>0</v>
      </c>
      <c r="AA37" s="1124">
        <f t="shared" si="6"/>
        <v>0</v>
      </c>
      <c r="AB37" s="1124">
        <f>AA37*'(参考)排出係数'!$F$3</f>
        <v>0</v>
      </c>
      <c r="AC37" s="1124">
        <f t="shared" si="12"/>
        <v>0</v>
      </c>
      <c r="AD37" s="1124">
        <f t="shared" si="13"/>
        <v>0</v>
      </c>
      <c r="AE37" s="33"/>
    </row>
    <row r="38" spans="1:31" s="85" customFormat="1" ht="18.7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row>
    <row r="39" spans="1:31" s="85" customFormat="1" ht="18.7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row>
    <row r="40" spans="1:31" ht="18.75" customHeight="1"/>
    <row r="41" spans="1:31" ht="18.75" customHeight="1"/>
    <row r="42" spans="1:31" ht="18.75" customHeight="1"/>
    <row r="43" spans="1:31" ht="18.75" customHeight="1"/>
    <row r="44" spans="1:31" ht="18.75" customHeight="1"/>
    <row r="45" spans="1:31" ht="18.75" customHeight="1"/>
    <row r="46" spans="1:31" ht="18.75" customHeight="1"/>
    <row r="47" spans="1:31" ht="18.75" customHeight="1"/>
    <row r="48" spans="1:31" ht="18.75" customHeight="1"/>
    <row r="49" ht="18.75" customHeight="1"/>
  </sheetData>
  <protectedRanges>
    <protectedRange sqref="F18:F37" name="範囲2"/>
    <protectedRange sqref="L4:U4 H11 J11 C18:E37 G18:J37 L18:O37 S18:V37 X18:Y37" name="範囲1"/>
  </protectedRanges>
  <mergeCells count="4">
    <mergeCell ref="P7:U8"/>
    <mergeCell ref="B12:B14"/>
    <mergeCell ref="C8:G8"/>
    <mergeCell ref="G10:J10"/>
  </mergeCells>
  <phoneticPr fontId="2"/>
  <pageMargins left="0.7" right="0.7" top="0.75" bottom="0.75" header="0.3" footer="0.3"/>
  <pageSetup paperSize="9" scale="39" orientation="landscape"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CCB-44EC-4ED8-BA37-6FBB10F6AE3B}">
  <sheetPr codeName="Sheet9">
    <pageSetUpPr fitToPage="1"/>
  </sheetPr>
  <dimension ref="A1:AL51"/>
  <sheetViews>
    <sheetView zoomScaleNormal="100" workbookViewId="0">
      <pane ySplit="1" topLeftCell="A2" activePane="bottomLeft" state="frozen"/>
      <selection pane="bottomLeft" activeCell="A2" sqref="A2"/>
    </sheetView>
  </sheetViews>
  <sheetFormatPr defaultColWidth="9" defaultRowHeight="13"/>
  <cols>
    <col min="1" max="1" width="3.58203125" style="1" customWidth="1"/>
    <col min="2" max="2" width="7.58203125" style="1" customWidth="1"/>
    <col min="3" max="3" width="14.58203125" style="1" customWidth="1"/>
    <col min="4" max="37" width="10.58203125" style="1" customWidth="1"/>
    <col min="38" max="16384" width="9" style="1"/>
  </cols>
  <sheetData>
    <row r="1" spans="1:38" ht="30" customHeight="1">
      <c r="A1" s="107" t="s">
        <v>488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row>
    <row r="2" spans="1:38" s="85" customFormat="1" ht="18.75" customHeight="1">
      <c r="A2" s="33"/>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row>
    <row r="3" spans="1:38" s="85" customFormat="1" ht="18.75" customHeight="1">
      <c r="A3" s="33"/>
      <c r="B3" s="33"/>
      <c r="C3" s="96" t="s">
        <v>15</v>
      </c>
      <c r="D3" s="97"/>
      <c r="E3" s="90" t="s">
        <v>7</v>
      </c>
      <c r="F3" s="90" t="s">
        <v>54</v>
      </c>
      <c r="G3" s="90" t="s">
        <v>74</v>
      </c>
      <c r="H3" s="84" t="s">
        <v>75</v>
      </c>
      <c r="I3" s="90" t="s">
        <v>76</v>
      </c>
      <c r="J3" s="33"/>
      <c r="K3" s="33"/>
      <c r="L3" s="96" t="s">
        <v>674</v>
      </c>
      <c r="M3" s="437"/>
      <c r="N3" s="437"/>
      <c r="O3" s="437"/>
      <c r="P3" s="437"/>
      <c r="Q3" s="437"/>
      <c r="R3" s="437"/>
      <c r="S3" s="437"/>
      <c r="T3" s="437"/>
      <c r="U3" s="97"/>
      <c r="V3" s="33"/>
      <c r="W3" s="96" t="s">
        <v>694</v>
      </c>
      <c r="X3" s="97"/>
      <c r="Y3" s="90" t="s">
        <v>698</v>
      </c>
      <c r="Z3" s="90" t="s">
        <v>695</v>
      </c>
      <c r="AA3" s="90" t="s">
        <v>384</v>
      </c>
      <c r="AB3" s="33"/>
      <c r="AC3" s="33"/>
      <c r="AD3" s="33"/>
      <c r="AE3" s="33"/>
      <c r="AF3" s="33"/>
      <c r="AG3" s="33"/>
      <c r="AH3" s="33"/>
      <c r="AI3" s="33"/>
      <c r="AJ3" s="33"/>
      <c r="AK3" s="33"/>
      <c r="AL3" s="33"/>
    </row>
    <row r="4" spans="1:38" s="85" customFormat="1" ht="18.75" customHeight="1">
      <c r="A4" s="33"/>
      <c r="B4" s="33"/>
      <c r="C4" s="96" t="s">
        <v>69</v>
      </c>
      <c r="D4" s="97"/>
      <c r="E4" s="90" t="s">
        <v>73</v>
      </c>
      <c r="F4" s="1125">
        <f>S19</f>
        <v>0</v>
      </c>
      <c r="G4" s="1125">
        <f>AF19</f>
        <v>0</v>
      </c>
      <c r="H4" s="1125">
        <f>F4-G4</f>
        <v>0</v>
      </c>
      <c r="I4" s="1126">
        <f>IF(OR(F4=0,H4=0),0,H4/F4)</f>
        <v>0</v>
      </c>
      <c r="J4" s="33"/>
      <c r="K4" s="33"/>
      <c r="L4" s="431"/>
      <c r="M4" s="432"/>
      <c r="N4" s="432"/>
      <c r="O4" s="432"/>
      <c r="P4" s="432"/>
      <c r="Q4" s="432"/>
      <c r="R4" s="432"/>
      <c r="S4" s="432"/>
      <c r="T4" s="432"/>
      <c r="U4" s="433"/>
      <c r="V4" s="33"/>
      <c r="W4" s="169" t="s">
        <v>696</v>
      </c>
      <c r="X4" s="168" t="s">
        <v>653</v>
      </c>
      <c r="Y4" s="297">
        <v>11000</v>
      </c>
      <c r="Z4" s="438">
        <f>'(参考)排出係数'!$F$14</f>
        <v>2.14</v>
      </c>
      <c r="AA4" s="297" t="s">
        <v>700</v>
      </c>
      <c r="AB4" s="33"/>
      <c r="AC4" s="33"/>
      <c r="AD4" s="33"/>
      <c r="AE4" s="33"/>
      <c r="AF4" s="33"/>
      <c r="AG4" s="33"/>
      <c r="AH4" s="33"/>
      <c r="AI4" s="33"/>
      <c r="AJ4" s="33"/>
      <c r="AK4" s="33"/>
      <c r="AL4" s="33"/>
    </row>
    <row r="5" spans="1:38" s="85" customFormat="1" ht="18.75" customHeight="1">
      <c r="A5" s="33"/>
      <c r="B5" s="33"/>
      <c r="C5" s="96" t="s">
        <v>192</v>
      </c>
      <c r="D5" s="97"/>
      <c r="E5" s="90" t="s">
        <v>193</v>
      </c>
      <c r="F5" s="1125">
        <f>T19</f>
        <v>0</v>
      </c>
      <c r="G5" s="1125">
        <f>AG19</f>
        <v>0</v>
      </c>
      <c r="H5" s="1125">
        <f>F5-G5</f>
        <v>0</v>
      </c>
      <c r="I5" s="1126">
        <f>IF(OR(F5=0,H5=0),0,H5/F5)</f>
        <v>0</v>
      </c>
      <c r="J5" s="33"/>
      <c r="K5" s="33"/>
      <c r="L5" s="33"/>
      <c r="M5" s="33"/>
      <c r="N5" s="33"/>
      <c r="O5" s="33"/>
      <c r="P5" s="33"/>
      <c r="Q5" s="33"/>
      <c r="R5" s="33"/>
      <c r="S5" s="33"/>
      <c r="T5" s="33"/>
      <c r="U5" s="33"/>
      <c r="V5" s="33"/>
      <c r="W5" s="170"/>
      <c r="X5" s="168" t="s">
        <v>655</v>
      </c>
      <c r="Y5" s="297">
        <v>10000</v>
      </c>
      <c r="Z5" s="438">
        <f>'(参考)排出係数'!$F$14</f>
        <v>2.14</v>
      </c>
      <c r="AA5" s="297" t="s">
        <v>700</v>
      </c>
      <c r="AB5" s="33"/>
      <c r="AC5" s="33"/>
      <c r="AD5" s="33"/>
      <c r="AE5" s="33"/>
      <c r="AF5" s="33"/>
      <c r="AG5" s="33"/>
      <c r="AH5" s="33"/>
      <c r="AI5" s="33"/>
      <c r="AJ5" s="33"/>
      <c r="AK5" s="33"/>
      <c r="AL5" s="33"/>
    </row>
    <row r="6" spans="1:38" s="85" customFormat="1" ht="18.75" customHeight="1">
      <c r="A6" s="33"/>
      <c r="B6" s="33"/>
      <c r="C6" s="96" t="s">
        <v>71</v>
      </c>
      <c r="D6" s="97"/>
      <c r="E6" s="90" t="s">
        <v>72</v>
      </c>
      <c r="F6" s="1125">
        <f>U19</f>
        <v>0</v>
      </c>
      <c r="G6" s="1125">
        <f>AH19</f>
        <v>0</v>
      </c>
      <c r="H6" s="1125">
        <f>F6-G6</f>
        <v>0</v>
      </c>
      <c r="I6" s="1126">
        <f t="shared" ref="I6:I8" si="0">IF(OR(F6=0,H6=0),0,H6/F6)</f>
        <v>0</v>
      </c>
      <c r="J6" s="33"/>
      <c r="K6" s="33"/>
      <c r="L6" s="96" t="s">
        <v>675</v>
      </c>
      <c r="M6" s="437"/>
      <c r="N6" s="437"/>
      <c r="O6" s="437"/>
      <c r="P6" s="437"/>
      <c r="Q6" s="437"/>
      <c r="R6" s="437"/>
      <c r="S6" s="437"/>
      <c r="T6" s="437"/>
      <c r="U6" s="97"/>
      <c r="V6" s="33"/>
      <c r="W6" s="168" t="s">
        <v>699</v>
      </c>
      <c r="X6" s="168" t="s">
        <v>492</v>
      </c>
      <c r="Y6" s="297">
        <v>24000</v>
      </c>
      <c r="Z6" s="438">
        <f>'(参考)排出係数'!F12</f>
        <v>3</v>
      </c>
      <c r="AA6" s="297" t="s">
        <v>700</v>
      </c>
      <c r="AB6" s="33"/>
      <c r="AC6" s="33"/>
      <c r="AD6" s="33"/>
      <c r="AE6" s="33"/>
      <c r="AF6" s="33"/>
      <c r="AG6" s="33"/>
      <c r="AH6" s="33"/>
      <c r="AI6" s="33"/>
      <c r="AJ6" s="33"/>
      <c r="AK6" s="33"/>
      <c r="AL6" s="33"/>
    </row>
    <row r="7" spans="1:38" s="85" customFormat="1" ht="18.75" customHeight="1">
      <c r="A7" s="33"/>
      <c r="B7" s="33"/>
      <c r="C7" s="84" t="s">
        <v>157</v>
      </c>
      <c r="D7" s="84"/>
      <c r="E7" s="90" t="s">
        <v>158</v>
      </c>
      <c r="F7" s="1125">
        <f>(F4*【共通】事業所の光熱費!$H$6+F5*【共通】事業所の光熱費!$H$10)</f>
        <v>0</v>
      </c>
      <c r="G7" s="1125">
        <f>(G4*【共通】事業所の光熱費!$H$6+G5*【共通】事業所の光熱費!$H$10)</f>
        <v>0</v>
      </c>
      <c r="H7" s="1125">
        <f>F7-G7</f>
        <v>0</v>
      </c>
      <c r="I7" s="1126">
        <f t="shared" si="0"/>
        <v>0</v>
      </c>
      <c r="J7" s="33"/>
      <c r="K7" s="33"/>
      <c r="L7" s="84" t="s">
        <v>676</v>
      </c>
      <c r="M7" s="84"/>
      <c r="N7" s="90" t="s">
        <v>678</v>
      </c>
      <c r="O7" s="90" t="s">
        <v>679</v>
      </c>
      <c r="P7" s="1809" t="str">
        <f>IF(OR(OR(N8="",O8=""),AND(N8="なし",O8="なし")),"－",IF(COUNTIF(N8:O8,"増加")&gt;0,"やむを得ず増加する場合は特記事項欄に理由を記載してください。","減少する理由を特記事項欄に記載してください。"))</f>
        <v>－</v>
      </c>
      <c r="Q7" s="1810"/>
      <c r="R7" s="1810"/>
      <c r="S7" s="1810"/>
      <c r="T7" s="1810"/>
      <c r="U7" s="1811"/>
      <c r="V7" s="33"/>
      <c r="W7" s="1703" t="s">
        <v>697</v>
      </c>
      <c r="X7" s="1704"/>
      <c r="Y7" s="44">
        <f>IF(D10="","",VLOOKUP($D$10,$X$4:$Z$6,2,FALSE))</f>
        <v>24000</v>
      </c>
      <c r="Z7" s="348"/>
      <c r="AA7" s="297" t="s">
        <v>698</v>
      </c>
      <c r="AB7" s="33"/>
      <c r="AC7" s="33"/>
      <c r="AD7" s="33"/>
      <c r="AE7" s="33"/>
      <c r="AF7" s="33"/>
      <c r="AG7" s="33"/>
      <c r="AH7" s="33"/>
      <c r="AI7" s="33"/>
      <c r="AJ7" s="33"/>
      <c r="AK7" s="33"/>
      <c r="AL7" s="33"/>
    </row>
    <row r="8" spans="1:38" s="85" customFormat="1" ht="18.75" customHeight="1">
      <c r="A8" s="33"/>
      <c r="B8" s="33"/>
      <c r="C8" s="84" t="s">
        <v>375</v>
      </c>
      <c r="D8" s="84"/>
      <c r="E8" s="90" t="s">
        <v>163</v>
      </c>
      <c r="F8" s="1127">
        <f>(F4*'(参考)排出係数'!$C$3+F5*'(参考)排出係数'!$C$14)*0.0000258</f>
        <v>0</v>
      </c>
      <c r="G8" s="1127">
        <f>(G4*'(参考)排出係数'!$C$3+G5*'(参考)排出係数'!$C$14)*0.0000258</f>
        <v>0</v>
      </c>
      <c r="H8" s="1127">
        <f>F8-G8</f>
        <v>0</v>
      </c>
      <c r="I8" s="1126">
        <f t="shared" si="0"/>
        <v>0</v>
      </c>
      <c r="J8" s="33"/>
      <c r="K8" s="33"/>
      <c r="L8" s="84" t="s">
        <v>677</v>
      </c>
      <c r="M8" s="84"/>
      <c r="N8" s="286" t="str">
        <f>IF(OR(G19=0,X19=0),"",IF(G19=X19,"なし",IF(G19&gt;X19,"減少","増加")))</f>
        <v/>
      </c>
      <c r="O8" s="286" t="str">
        <f>IF(OR(M19=0,AB19=0),"",IF(M19=AB19,"なし",IF(M19&gt;AB19,"減少","増加")))</f>
        <v/>
      </c>
      <c r="P8" s="1812"/>
      <c r="Q8" s="1813"/>
      <c r="R8" s="1813"/>
      <c r="S8" s="1813"/>
      <c r="T8" s="1813"/>
      <c r="U8" s="1814"/>
      <c r="V8" s="33"/>
      <c r="W8" s="33"/>
      <c r="X8" s="33"/>
      <c r="Y8" s="33"/>
      <c r="Z8" s="33"/>
      <c r="AA8" s="33"/>
      <c r="AB8" s="33"/>
      <c r="AC8" s="33"/>
      <c r="AD8" s="33"/>
      <c r="AE8" s="33"/>
      <c r="AF8" s="33"/>
      <c r="AG8" s="33"/>
      <c r="AH8" s="33"/>
      <c r="AI8" s="33"/>
      <c r="AJ8" s="33"/>
      <c r="AK8" s="33"/>
      <c r="AL8" s="33"/>
    </row>
    <row r="9" spans="1:38" s="85" customFormat="1" ht="18.75" customHeight="1">
      <c r="A9" s="33"/>
      <c r="B9" s="33"/>
      <c r="C9" s="90" t="s">
        <v>489</v>
      </c>
      <c r="D9" s="90" t="s">
        <v>490</v>
      </c>
      <c r="E9" s="399" t="s">
        <v>691</v>
      </c>
      <c r="F9" s="400"/>
      <c r="G9" s="399" t="s">
        <v>692</v>
      </c>
      <c r="H9" s="400"/>
      <c r="I9" s="90" t="s">
        <v>693</v>
      </c>
      <c r="J9" s="33"/>
      <c r="K9" s="33"/>
      <c r="L9" s="33"/>
      <c r="M9" s="33"/>
      <c r="N9" s="108"/>
      <c r="O9" s="108"/>
      <c r="P9" s="108"/>
      <c r="Q9" s="108"/>
      <c r="R9" s="108"/>
      <c r="S9" s="108"/>
      <c r="T9" s="108"/>
      <c r="U9" s="108"/>
      <c r="V9" s="33"/>
      <c r="W9" s="33"/>
      <c r="X9" s="33"/>
      <c r="Y9" s="33"/>
      <c r="Z9" s="33"/>
      <c r="AA9" s="33"/>
      <c r="AB9" s="33"/>
      <c r="AC9" s="33"/>
      <c r="AD9" s="33"/>
      <c r="AE9" s="33"/>
      <c r="AF9" s="33"/>
      <c r="AG9" s="33"/>
      <c r="AH9" s="33"/>
      <c r="AI9" s="33"/>
      <c r="AJ9" s="33"/>
      <c r="AK9" s="33"/>
      <c r="AL9" s="33"/>
    </row>
    <row r="10" spans="1:38" s="85" customFormat="1" ht="18.75" customHeight="1">
      <c r="A10" s="33"/>
      <c r="B10" s="33"/>
      <c r="C10" s="238" t="s">
        <v>1070</v>
      </c>
      <c r="D10" s="440" t="s">
        <v>492</v>
      </c>
      <c r="E10" s="1128">
        <f>IF(C10="","",VLOOKUP(C10,'(参考)排出係数'!$B$3:$J$16,5,FALSE))</f>
        <v>3</v>
      </c>
      <c r="F10" s="863" t="str">
        <f>IF(C10="","",VLOOKUP(C10,'(参考)排出係数'!$B$3:$J$16,6,FALSE))</f>
        <v>kg-CO2/kg</v>
      </c>
      <c r="G10" s="1819">
        <f>IF(Y7="","",Y7)</f>
        <v>24000</v>
      </c>
      <c r="H10" s="1820"/>
      <c r="I10" s="1129">
        <f>IF(D10="LP",【共通】事業所の光熱費!$H$10,【共通】事業所の光熱費!$H$9)</f>
        <v>0</v>
      </c>
      <c r="J10" s="33"/>
      <c r="K10" s="33"/>
      <c r="L10" s="33"/>
      <c r="M10" s="33"/>
      <c r="N10" s="108"/>
      <c r="O10" s="108"/>
      <c r="P10" s="108"/>
      <c r="Q10" s="108"/>
      <c r="R10" s="108"/>
      <c r="S10" s="108"/>
      <c r="T10" s="108"/>
      <c r="U10" s="108"/>
      <c r="V10" s="33"/>
      <c r="W10" s="33"/>
      <c r="X10" s="33"/>
      <c r="Y10" s="33"/>
      <c r="Z10" s="33"/>
      <c r="AA10" s="33"/>
      <c r="AB10" s="33"/>
      <c r="AC10" s="33"/>
      <c r="AD10" s="33"/>
      <c r="AE10" s="33"/>
      <c r="AF10" s="33"/>
      <c r="AG10" s="33"/>
      <c r="AH10" s="33"/>
      <c r="AI10" s="33"/>
      <c r="AJ10" s="33"/>
      <c r="AK10" s="33"/>
      <c r="AL10" s="33"/>
    </row>
    <row r="11" spans="1:38" s="85" customFormat="1" ht="18.75" customHeight="1">
      <c r="A11" s="33"/>
      <c r="B11" s="33"/>
      <c r="C11" s="1818" t="s">
        <v>376</v>
      </c>
      <c r="D11" s="1818"/>
      <c r="E11" s="1818"/>
      <c r="F11" s="1818"/>
      <c r="G11" s="1818"/>
      <c r="J11" s="33"/>
      <c r="K11" s="33"/>
      <c r="L11" s="33"/>
      <c r="M11" s="33"/>
      <c r="N11" s="108"/>
      <c r="O11" s="108"/>
      <c r="P11" s="108"/>
      <c r="Q11" s="108"/>
      <c r="R11" s="33"/>
      <c r="S11" s="33"/>
      <c r="T11" s="33"/>
      <c r="U11" s="33"/>
      <c r="V11" s="33"/>
      <c r="W11" s="33" t="s">
        <v>684</v>
      </c>
      <c r="X11" s="33"/>
      <c r="Y11" s="33"/>
      <c r="Z11" s="33"/>
      <c r="AA11" s="33"/>
      <c r="AB11" s="33"/>
      <c r="AC11" s="33"/>
      <c r="AD11" s="33"/>
      <c r="AE11" s="33"/>
      <c r="AF11" s="33"/>
      <c r="AG11" s="33"/>
      <c r="AH11" s="33"/>
      <c r="AI11" s="33"/>
      <c r="AJ11" s="33"/>
      <c r="AK11" s="33"/>
      <c r="AL11" s="33"/>
    </row>
    <row r="12" spans="1:38" s="85" customFormat="1" ht="18.75" customHeight="1">
      <c r="A12" s="33"/>
      <c r="B12" s="33"/>
      <c r="C12" s="33"/>
      <c r="D12" s="301"/>
      <c r="E12" s="108"/>
      <c r="F12" s="349"/>
      <c r="G12" s="1762" t="s">
        <v>859</v>
      </c>
      <c r="H12" s="1763"/>
      <c r="I12" s="1763"/>
      <c r="J12" s="1764"/>
      <c r="K12" s="33"/>
      <c r="M12" s="33"/>
      <c r="N12" s="108"/>
      <c r="O12" s="108"/>
      <c r="P12" s="108"/>
      <c r="Q12" s="108"/>
      <c r="R12" s="33"/>
      <c r="S12" s="33"/>
      <c r="T12" s="33"/>
      <c r="U12" s="33"/>
      <c r="V12" s="33"/>
      <c r="W12" s="33" t="s">
        <v>685</v>
      </c>
      <c r="X12" s="33"/>
      <c r="Y12" s="33"/>
      <c r="Z12" s="33"/>
      <c r="AA12" s="33"/>
      <c r="AB12" s="33"/>
      <c r="AC12" s="33"/>
      <c r="AD12" s="33"/>
      <c r="AE12" s="33"/>
      <c r="AF12" s="33"/>
      <c r="AG12" s="33"/>
      <c r="AH12" s="33"/>
      <c r="AI12" s="33"/>
      <c r="AJ12" s="33"/>
      <c r="AK12" s="33"/>
      <c r="AL12" s="33"/>
    </row>
    <row r="13" spans="1:38" s="85" customFormat="1" ht="18.75" customHeight="1">
      <c r="A13" s="33"/>
      <c r="B13" s="33"/>
      <c r="C13" s="439" t="s">
        <v>43</v>
      </c>
      <c r="D13" s="440" t="s">
        <v>668</v>
      </c>
      <c r="E13" s="441" t="s">
        <v>723</v>
      </c>
      <c r="F13" s="349"/>
      <c r="G13" s="555" t="s">
        <v>596</v>
      </c>
      <c r="H13" s="311">
        <v>0.5</v>
      </c>
      <c r="I13" s="555" t="s">
        <v>597</v>
      </c>
      <c r="J13" s="311">
        <v>0.4</v>
      </c>
      <c r="K13" s="33" t="s">
        <v>863</v>
      </c>
      <c r="L13" s="33"/>
      <c r="M13" s="33"/>
      <c r="N13" s="108"/>
      <c r="O13" s="108"/>
      <c r="P13" s="108"/>
      <c r="Q13" s="108"/>
      <c r="R13" s="33"/>
      <c r="S13" s="33"/>
      <c r="T13" s="33"/>
      <c r="U13" s="33"/>
      <c r="V13" s="33"/>
      <c r="W13" s="33" t="s">
        <v>690</v>
      </c>
      <c r="X13" s="33"/>
      <c r="Y13" s="33"/>
      <c r="Z13" s="33"/>
      <c r="AA13" s="33"/>
      <c r="AB13" s="33"/>
      <c r="AC13" s="33"/>
      <c r="AD13" s="33"/>
      <c r="AE13" s="33"/>
      <c r="AF13" s="33"/>
      <c r="AG13" s="33"/>
      <c r="AH13" s="33"/>
      <c r="AI13" s="33"/>
      <c r="AJ13" s="33"/>
      <c r="AK13" s="33"/>
      <c r="AL13" s="33"/>
    </row>
    <row r="14" spans="1:38" s="85" customFormat="1" ht="18.75" customHeight="1">
      <c r="A14" s="33"/>
      <c r="B14" s="1815" t="s">
        <v>336</v>
      </c>
      <c r="C14" s="328" t="s">
        <v>54</v>
      </c>
      <c r="D14" s="329"/>
      <c r="E14" s="329"/>
      <c r="F14" s="329"/>
      <c r="G14" s="330"/>
      <c r="H14" s="330"/>
      <c r="I14" s="330"/>
      <c r="J14" s="330"/>
      <c r="K14" s="330"/>
      <c r="L14" s="330"/>
      <c r="M14" s="330"/>
      <c r="N14" s="330"/>
      <c r="O14" s="330"/>
      <c r="P14" s="330"/>
      <c r="Q14" s="330"/>
      <c r="R14" s="330"/>
      <c r="S14" s="330"/>
      <c r="T14" s="330"/>
      <c r="U14" s="331"/>
      <c r="V14" s="332" t="s">
        <v>74</v>
      </c>
      <c r="W14" s="333"/>
      <c r="X14" s="334"/>
      <c r="Y14" s="334"/>
      <c r="Z14" s="334"/>
      <c r="AA14" s="334"/>
      <c r="AB14" s="334"/>
      <c r="AC14" s="334"/>
      <c r="AD14" s="334"/>
      <c r="AE14" s="334"/>
      <c r="AF14" s="334"/>
      <c r="AG14" s="334"/>
      <c r="AH14" s="335"/>
      <c r="AI14" s="336" t="s">
        <v>58</v>
      </c>
      <c r="AJ14" s="350"/>
      <c r="AK14" s="337"/>
      <c r="AL14" s="33"/>
    </row>
    <row r="15" spans="1:38" s="85" customFormat="1" ht="18.75" customHeight="1">
      <c r="A15" s="33"/>
      <c r="B15" s="1816"/>
      <c r="C15" s="338"/>
      <c r="D15" s="339"/>
      <c r="E15" s="339"/>
      <c r="F15" s="340"/>
      <c r="G15" s="341" t="s">
        <v>105</v>
      </c>
      <c r="H15" s="330"/>
      <c r="I15" s="330"/>
      <c r="J15" s="330"/>
      <c r="K15" s="330"/>
      <c r="L15" s="331"/>
      <c r="M15" s="341" t="s">
        <v>106</v>
      </c>
      <c r="N15" s="330"/>
      <c r="O15" s="330"/>
      <c r="P15" s="330"/>
      <c r="Q15" s="330"/>
      <c r="R15" s="331"/>
      <c r="S15" s="341" t="s">
        <v>113</v>
      </c>
      <c r="T15" s="330"/>
      <c r="U15" s="331"/>
      <c r="V15" s="342"/>
      <c r="W15" s="343"/>
      <c r="X15" s="344" t="s">
        <v>105</v>
      </c>
      <c r="Y15" s="334"/>
      <c r="Z15" s="334"/>
      <c r="AA15" s="335"/>
      <c r="AB15" s="345" t="s">
        <v>117</v>
      </c>
      <c r="AC15" s="334"/>
      <c r="AD15" s="334"/>
      <c r="AE15" s="335"/>
      <c r="AF15" s="344" t="s">
        <v>118</v>
      </c>
      <c r="AG15" s="334"/>
      <c r="AH15" s="335"/>
      <c r="AI15" s="346"/>
      <c r="AJ15" s="351"/>
      <c r="AK15" s="347"/>
      <c r="AL15" s="33"/>
    </row>
    <row r="16" spans="1:38" s="89" customFormat="1" ht="45" customHeight="1">
      <c r="A16" s="108"/>
      <c r="B16" s="1817"/>
      <c r="C16" s="45" t="s">
        <v>44</v>
      </c>
      <c r="D16" s="45" t="s">
        <v>92</v>
      </c>
      <c r="E16" s="45" t="s">
        <v>93</v>
      </c>
      <c r="F16" s="45" t="s">
        <v>94</v>
      </c>
      <c r="G16" s="42" t="s">
        <v>95</v>
      </c>
      <c r="H16" s="45" t="s">
        <v>623</v>
      </c>
      <c r="I16" s="45" t="s">
        <v>687</v>
      </c>
      <c r="J16" s="45" t="s">
        <v>98</v>
      </c>
      <c r="K16" s="45" t="s">
        <v>99</v>
      </c>
      <c r="L16" s="45" t="s">
        <v>615</v>
      </c>
      <c r="M16" s="42" t="s">
        <v>96</v>
      </c>
      <c r="N16" s="45" t="s">
        <v>616</v>
      </c>
      <c r="O16" s="45" t="s">
        <v>688</v>
      </c>
      <c r="P16" s="45" t="s">
        <v>98</v>
      </c>
      <c r="Q16" s="45" t="s">
        <v>99</v>
      </c>
      <c r="R16" s="45" t="s">
        <v>617</v>
      </c>
      <c r="S16" s="45" t="s">
        <v>689</v>
      </c>
      <c r="T16" s="45" t="s">
        <v>598</v>
      </c>
      <c r="U16" s="45" t="s">
        <v>686</v>
      </c>
      <c r="V16" s="86" t="s">
        <v>97</v>
      </c>
      <c r="W16" s="86" t="s">
        <v>116</v>
      </c>
      <c r="X16" s="86" t="s">
        <v>96</v>
      </c>
      <c r="Y16" s="86" t="s">
        <v>624</v>
      </c>
      <c r="Z16" s="86" t="s">
        <v>625</v>
      </c>
      <c r="AA16" s="86" t="s">
        <v>620</v>
      </c>
      <c r="AB16" s="86" t="s">
        <v>96</v>
      </c>
      <c r="AC16" s="86" t="s">
        <v>621</v>
      </c>
      <c r="AD16" s="86" t="s">
        <v>626</v>
      </c>
      <c r="AE16" s="86" t="s">
        <v>622</v>
      </c>
      <c r="AF16" s="86" t="s">
        <v>358</v>
      </c>
      <c r="AG16" s="86" t="s">
        <v>599</v>
      </c>
      <c r="AH16" s="86" t="s">
        <v>600</v>
      </c>
      <c r="AI16" s="88" t="s">
        <v>603</v>
      </c>
      <c r="AJ16" s="88" t="s">
        <v>601</v>
      </c>
      <c r="AK16" s="88" t="s">
        <v>602</v>
      </c>
      <c r="AL16" s="108"/>
    </row>
    <row r="17" spans="1:38" s="89" customFormat="1" ht="18.75" customHeight="1">
      <c r="A17" s="108"/>
      <c r="B17" s="43" t="s">
        <v>7</v>
      </c>
      <c r="C17" s="42" t="s">
        <v>45</v>
      </c>
      <c r="D17" s="42" t="s">
        <v>82</v>
      </c>
      <c r="E17" s="45" t="s">
        <v>107</v>
      </c>
      <c r="F17" s="42"/>
      <c r="G17" s="42" t="s">
        <v>108</v>
      </c>
      <c r="H17" s="42" t="s">
        <v>112</v>
      </c>
      <c r="I17" s="42" t="s">
        <v>112</v>
      </c>
      <c r="J17" s="42" t="s">
        <v>109</v>
      </c>
      <c r="K17" s="42" t="s">
        <v>51</v>
      </c>
      <c r="L17" s="42" t="s">
        <v>53</v>
      </c>
      <c r="M17" s="42" t="s">
        <v>108</v>
      </c>
      <c r="N17" s="42" t="s">
        <v>112</v>
      </c>
      <c r="O17" s="42" t="s">
        <v>112</v>
      </c>
      <c r="P17" s="42" t="s">
        <v>109</v>
      </c>
      <c r="Q17" s="42" t="s">
        <v>51</v>
      </c>
      <c r="R17" s="42" t="s">
        <v>53</v>
      </c>
      <c r="S17" s="42" t="s">
        <v>123</v>
      </c>
      <c r="T17" s="42" t="s">
        <v>193</v>
      </c>
      <c r="U17" s="42" t="s">
        <v>608</v>
      </c>
      <c r="V17" s="87" t="s">
        <v>45</v>
      </c>
      <c r="W17" s="86" t="s">
        <v>107</v>
      </c>
      <c r="X17" s="87" t="s">
        <v>108</v>
      </c>
      <c r="Y17" s="87" t="s">
        <v>112</v>
      </c>
      <c r="Z17" s="87" t="s">
        <v>112</v>
      </c>
      <c r="AA17" s="87" t="s">
        <v>53</v>
      </c>
      <c r="AB17" s="87" t="s">
        <v>108</v>
      </c>
      <c r="AC17" s="87" t="s">
        <v>112</v>
      </c>
      <c r="AD17" s="87" t="s">
        <v>112</v>
      </c>
      <c r="AE17" s="87" t="s">
        <v>53</v>
      </c>
      <c r="AF17" s="87" t="s">
        <v>123</v>
      </c>
      <c r="AG17" s="87" t="s">
        <v>193</v>
      </c>
      <c r="AH17" s="87" t="s">
        <v>608</v>
      </c>
      <c r="AI17" s="90" t="s">
        <v>123</v>
      </c>
      <c r="AJ17" s="90" t="s">
        <v>193</v>
      </c>
      <c r="AK17" s="90" t="s">
        <v>608</v>
      </c>
      <c r="AL17" s="108"/>
    </row>
    <row r="18" spans="1:38" s="85" customFormat="1" ht="18.75" customHeight="1" thickBot="1">
      <c r="A18" s="33"/>
      <c r="B18" s="925" t="s">
        <v>77</v>
      </c>
      <c r="C18" s="1359" t="s">
        <v>50</v>
      </c>
      <c r="D18" s="1360">
        <v>2020</v>
      </c>
      <c r="E18" s="1360">
        <v>5</v>
      </c>
      <c r="F18" s="1361">
        <f>IF(D18="",1,MIN(1.5,(2026-D18)*0.05+1))</f>
        <v>1.3</v>
      </c>
      <c r="G18" s="1362">
        <v>26</v>
      </c>
      <c r="H18" s="1362">
        <v>8.11</v>
      </c>
      <c r="I18" s="1362">
        <v>10</v>
      </c>
      <c r="J18" s="1362">
        <v>8</v>
      </c>
      <c r="K18" s="1360">
        <v>120</v>
      </c>
      <c r="L18" s="1363">
        <f>J18*K18</f>
        <v>960</v>
      </c>
      <c r="M18" s="1362">
        <v>30</v>
      </c>
      <c r="N18" s="1362">
        <v>8.5</v>
      </c>
      <c r="O18" s="1362">
        <v>10</v>
      </c>
      <c r="P18" s="1362">
        <v>8</v>
      </c>
      <c r="Q18" s="1360">
        <v>90</v>
      </c>
      <c r="R18" s="1363">
        <f>P18*Q18</f>
        <v>720</v>
      </c>
      <c r="S18" s="1364">
        <f>H18*F18*E18*L18*$H$13+N18*F18*E18*R18*$J$13</f>
        <v>41215.199999999997</v>
      </c>
      <c r="T18" s="1365">
        <f>IF($G$10="",0,F18*E18*(I18*L18*$H$13+O18*R18*$J$13)*860/$G$10)</f>
        <v>1788.8</v>
      </c>
      <c r="U18" s="1364">
        <f>S18*'(参考)排出係数'!$F$3+T18*'(参考)排出係数'!$F$14</f>
        <v>21550.567999999999</v>
      </c>
      <c r="V18" s="1359" t="s">
        <v>115</v>
      </c>
      <c r="W18" s="1360">
        <v>5</v>
      </c>
      <c r="X18" s="1362">
        <v>26</v>
      </c>
      <c r="Y18" s="1362">
        <v>7.8</v>
      </c>
      <c r="Z18" s="1362">
        <v>9</v>
      </c>
      <c r="AA18" s="1363">
        <f t="shared" ref="AA18:AA28" si="1">IF(L18=0,0,L18)</f>
        <v>960</v>
      </c>
      <c r="AB18" s="1362">
        <v>30</v>
      </c>
      <c r="AC18" s="1362">
        <v>8.3000000000000007</v>
      </c>
      <c r="AD18" s="1362">
        <v>9</v>
      </c>
      <c r="AE18" s="1363">
        <f t="shared" ref="AE18" si="2">IF(R18=0,0,R18)</f>
        <v>720</v>
      </c>
      <c r="AF18" s="1364">
        <f>Y18*W18*AA18*$H$13+AC18*W18*AE18*$J$13</f>
        <v>30672</v>
      </c>
      <c r="AG18" s="1365">
        <f>IF($G$10="",0,IFERROR(W18*(Z18*AA18*$H$13+AD18*AE18*$J$13)*860/$G$10,0))</f>
        <v>1238.4000000000001</v>
      </c>
      <c r="AH18" s="1364">
        <f>AF18*'(参考)排出係数'!$F$3+AG18*'(参考)排出係数'!$F$14</f>
        <v>15839.135999999999</v>
      </c>
      <c r="AI18" s="1364">
        <f t="shared" ref="AI18" si="3">S18-AF18</f>
        <v>10543.199999999997</v>
      </c>
      <c r="AJ18" s="1365">
        <f>T18-AG18</f>
        <v>550.39999999999986</v>
      </c>
      <c r="AK18" s="1364">
        <f t="shared" ref="AK18" si="4">U18-AH18</f>
        <v>5711.4320000000007</v>
      </c>
      <c r="AL18" s="33"/>
    </row>
    <row r="19" spans="1:38" s="85" customFormat="1" ht="18.75" customHeight="1" thickTop="1" thickBot="1">
      <c r="A19" s="33"/>
      <c r="B19" s="924" t="s">
        <v>67</v>
      </c>
      <c r="C19" s="1108"/>
      <c r="D19" s="1109"/>
      <c r="E19" s="1110">
        <f>SUM(E20:E39)</f>
        <v>0</v>
      </c>
      <c r="F19" s="1109"/>
      <c r="G19" s="1112" cm="1">
        <f t="array" ref="G19">SUMPRODUCT($E20:$E39*$G20:$G39)</f>
        <v>0</v>
      </c>
      <c r="H19" s="1112" cm="1">
        <f t="array" ref="H19">SUMPRODUCT($E20:$E39*$H20:$H39)</f>
        <v>0</v>
      </c>
      <c r="I19" s="1112" cm="1">
        <f t="array" ref="I19">SUMPRODUCT($E20:$E39*$I20:$I39)</f>
        <v>0</v>
      </c>
      <c r="J19" s="1131"/>
      <c r="K19" s="1109"/>
      <c r="L19" s="1109"/>
      <c r="M19" s="1112" cm="1">
        <f t="array" ref="M19">SUMPRODUCT($E20:$E39*$M20:$M39)</f>
        <v>0</v>
      </c>
      <c r="N19" s="1112" cm="1">
        <f t="array" ref="N19">SUMPRODUCT($E20:$E39*$N20:$N39)</f>
        <v>0</v>
      </c>
      <c r="O19" s="1112" cm="1">
        <f t="array" ref="O19">SUMPRODUCT($E20:$E39*$O20:$O39)</f>
        <v>0</v>
      </c>
      <c r="P19" s="1131"/>
      <c r="Q19" s="1109"/>
      <c r="R19" s="1109"/>
      <c r="S19" s="1112">
        <f>SUM(S20:S39)</f>
        <v>0</v>
      </c>
      <c r="T19" s="1112">
        <f>SUM(T20:T39)</f>
        <v>0</v>
      </c>
      <c r="U19" s="1112">
        <f>SUM(U20:U39)</f>
        <v>0</v>
      </c>
      <c r="V19" s="1108"/>
      <c r="W19" s="1110">
        <f>SUM(W20:W39)</f>
        <v>0</v>
      </c>
      <c r="X19" s="1112" cm="1">
        <f t="array" ref="X19">SUMPRODUCT($W20:$W39*$X20:$X39)</f>
        <v>0</v>
      </c>
      <c r="Y19" s="1112" cm="1">
        <f t="array" ref="Y19">SUMPRODUCT($W20:$W39*$Y20:$Y39)</f>
        <v>0</v>
      </c>
      <c r="Z19" s="1112">
        <f>SUM(Z20:Z39)</f>
        <v>0</v>
      </c>
      <c r="AA19" s="1109"/>
      <c r="AB19" s="1112" cm="1">
        <f t="array" ref="AB19">SUMPRODUCT($W20:$W39*$AB20:$AB39)</f>
        <v>0</v>
      </c>
      <c r="AC19" s="1112" cm="1">
        <f t="array" ref="AC19">SUMPRODUCT($W20:$W39*$AC20:$AC39)</f>
        <v>0</v>
      </c>
      <c r="AD19" s="1112">
        <f>SUM(AD20:AD39)</f>
        <v>0</v>
      </c>
      <c r="AE19" s="1109"/>
      <c r="AF19" s="1112">
        <f t="shared" ref="AF19:AK19" si="5">SUM(AF20:AF39)</f>
        <v>0</v>
      </c>
      <c r="AG19" s="1112">
        <f t="shared" si="5"/>
        <v>0</v>
      </c>
      <c r="AH19" s="1112">
        <f t="shared" si="5"/>
        <v>0</v>
      </c>
      <c r="AI19" s="1112">
        <f t="shared" si="5"/>
        <v>0</v>
      </c>
      <c r="AJ19" s="1112">
        <f t="shared" si="5"/>
        <v>0</v>
      </c>
      <c r="AK19" s="1113">
        <f t="shared" si="5"/>
        <v>0</v>
      </c>
      <c r="AL19" s="33"/>
    </row>
    <row r="20" spans="1:38" s="85" customFormat="1" ht="18.75" customHeight="1" thickTop="1">
      <c r="A20" s="33"/>
      <c r="B20" s="923" t="s">
        <v>177</v>
      </c>
      <c r="C20" s="1114"/>
      <c r="D20" s="1115"/>
      <c r="E20" s="1115"/>
      <c r="F20" s="1116">
        <f t="shared" ref="F20:F39" si="6">IF(D20="",1,MIN(1.5,(2026-D20)*0.05+1))</f>
        <v>1</v>
      </c>
      <c r="G20" s="1132"/>
      <c r="H20" s="1132"/>
      <c r="I20" s="1132"/>
      <c r="J20" s="1132"/>
      <c r="K20" s="1115"/>
      <c r="L20" s="1118">
        <f>J20*K20</f>
        <v>0</v>
      </c>
      <c r="M20" s="1132"/>
      <c r="N20" s="1132"/>
      <c r="O20" s="1132"/>
      <c r="P20" s="1132"/>
      <c r="Q20" s="1115"/>
      <c r="R20" s="1118">
        <f>P20*Q20</f>
        <v>0</v>
      </c>
      <c r="S20" s="1119">
        <f t="shared" ref="S20:S39" si="7">H20*F20*E20*L20*$H$13+N20*F20*E20*R20*$J$13</f>
        <v>0</v>
      </c>
      <c r="T20" s="1119">
        <f t="shared" ref="T20:T39" si="8">IF($G$10="",0,F20*E20*(I20*L20*$H$13+O20*R20*$J$13)*860/$G$10)</f>
        <v>0</v>
      </c>
      <c r="U20" s="1119">
        <f>S20*'(参考)排出係数'!$F$3+T20*'(参考)排出係数'!$F$14</f>
        <v>0</v>
      </c>
      <c r="V20" s="1114"/>
      <c r="W20" s="1115"/>
      <c r="X20" s="1132"/>
      <c r="Y20" s="1132"/>
      <c r="Z20" s="1132"/>
      <c r="AA20" s="1118">
        <f>IF(L20=0,0,L20)</f>
        <v>0</v>
      </c>
      <c r="AB20" s="1132"/>
      <c r="AC20" s="1132"/>
      <c r="AD20" s="1132"/>
      <c r="AE20" s="1118">
        <f t="shared" ref="AE20:AE28" si="9">IF(R20=0,0,R20)</f>
        <v>0</v>
      </c>
      <c r="AF20" s="1119">
        <f t="shared" ref="AF20:AF39" si="10">Y20*W20*AA20*$H$13+AC20*W20*AE20*$J$13</f>
        <v>0</v>
      </c>
      <c r="AG20" s="1119">
        <f t="shared" ref="AG20:AG39" si="11">IF($G$10="",0,IFERROR(W20*(Z20*AA20*$H$13+AD20*AE20*$J$13)*860/$G$10,0))</f>
        <v>0</v>
      </c>
      <c r="AH20" s="1119">
        <f>AF20*'(参考)排出係数'!$F$3+AG20*'(参考)排出係数'!$F$14</f>
        <v>0</v>
      </c>
      <c r="AI20" s="1119">
        <f t="shared" ref="AI20:AI28" si="12">S20-AF20</f>
        <v>0</v>
      </c>
      <c r="AJ20" s="1119">
        <f>T20-AG20</f>
        <v>0</v>
      </c>
      <c r="AK20" s="1119">
        <f t="shared" ref="AK20:AK28" si="13">U20-AH20</f>
        <v>0</v>
      </c>
      <c r="AL20" s="33"/>
    </row>
    <row r="21" spans="1:38" s="85" customFormat="1" ht="18.75" customHeight="1">
      <c r="A21" s="33"/>
      <c r="B21" s="44" t="s">
        <v>178</v>
      </c>
      <c r="C21" s="1120"/>
      <c r="D21" s="1047"/>
      <c r="E21" s="1047"/>
      <c r="F21" s="1121">
        <f t="shared" si="6"/>
        <v>1</v>
      </c>
      <c r="G21" s="1133"/>
      <c r="H21" s="1133"/>
      <c r="I21" s="1133"/>
      <c r="J21" s="1133"/>
      <c r="K21" s="1047"/>
      <c r="L21" s="1123">
        <f t="shared" ref="L21:L28" si="14">J21*K21</f>
        <v>0</v>
      </c>
      <c r="M21" s="1133"/>
      <c r="N21" s="1133"/>
      <c r="O21" s="1133"/>
      <c r="P21" s="1133"/>
      <c r="Q21" s="1047"/>
      <c r="R21" s="1123">
        <f t="shared" ref="R21:R28" si="15">P21*Q21</f>
        <v>0</v>
      </c>
      <c r="S21" s="1124">
        <f t="shared" si="7"/>
        <v>0</v>
      </c>
      <c r="T21" s="1124">
        <f t="shared" si="8"/>
        <v>0</v>
      </c>
      <c r="U21" s="1124">
        <f>S21*'(参考)排出係数'!$F$3+T21*'(参考)排出係数'!$F$14</f>
        <v>0</v>
      </c>
      <c r="V21" s="1120"/>
      <c r="W21" s="1047"/>
      <c r="X21" s="1133"/>
      <c r="Y21" s="1133"/>
      <c r="Z21" s="1133"/>
      <c r="AA21" s="1123">
        <f t="shared" si="1"/>
        <v>0</v>
      </c>
      <c r="AB21" s="1133"/>
      <c r="AC21" s="1133"/>
      <c r="AD21" s="1133"/>
      <c r="AE21" s="1123">
        <f t="shared" si="9"/>
        <v>0</v>
      </c>
      <c r="AF21" s="1124">
        <f t="shared" si="10"/>
        <v>0</v>
      </c>
      <c r="AG21" s="1124">
        <f t="shared" si="11"/>
        <v>0</v>
      </c>
      <c r="AH21" s="1124">
        <f>AF21*'(参考)排出係数'!$F$3+AG21*'(参考)排出係数'!$F$14</f>
        <v>0</v>
      </c>
      <c r="AI21" s="1124">
        <f>S21-AF21</f>
        <v>0</v>
      </c>
      <c r="AJ21" s="1124">
        <f>T21-AG21</f>
        <v>0</v>
      </c>
      <c r="AK21" s="1124">
        <f t="shared" si="13"/>
        <v>0</v>
      </c>
      <c r="AL21" s="33"/>
    </row>
    <row r="22" spans="1:38" s="85" customFormat="1" ht="18.75" customHeight="1">
      <c r="A22" s="33"/>
      <c r="B22" s="44" t="s">
        <v>179</v>
      </c>
      <c r="C22" s="1120"/>
      <c r="D22" s="1047"/>
      <c r="E22" s="1047"/>
      <c r="F22" s="1121">
        <f t="shared" si="6"/>
        <v>1</v>
      </c>
      <c r="G22" s="1133"/>
      <c r="H22" s="1133"/>
      <c r="I22" s="1133"/>
      <c r="J22" s="1133"/>
      <c r="K22" s="1047"/>
      <c r="L22" s="1123">
        <f t="shared" si="14"/>
        <v>0</v>
      </c>
      <c r="M22" s="1133"/>
      <c r="N22" s="1133"/>
      <c r="O22" s="1133"/>
      <c r="P22" s="1133"/>
      <c r="Q22" s="1047"/>
      <c r="R22" s="1123">
        <f t="shared" si="15"/>
        <v>0</v>
      </c>
      <c r="S22" s="1124">
        <f t="shared" si="7"/>
        <v>0</v>
      </c>
      <c r="T22" s="1124">
        <f t="shared" si="8"/>
        <v>0</v>
      </c>
      <c r="U22" s="1124">
        <f>S22*'(参考)排出係数'!$F$3+T22*'(参考)排出係数'!$F$14</f>
        <v>0</v>
      </c>
      <c r="V22" s="1120"/>
      <c r="W22" s="1047"/>
      <c r="X22" s="1133"/>
      <c r="Y22" s="1133"/>
      <c r="Z22" s="1133"/>
      <c r="AA22" s="1123">
        <f t="shared" si="1"/>
        <v>0</v>
      </c>
      <c r="AB22" s="1133"/>
      <c r="AC22" s="1133"/>
      <c r="AD22" s="1133"/>
      <c r="AE22" s="1123">
        <f t="shared" si="9"/>
        <v>0</v>
      </c>
      <c r="AF22" s="1124">
        <f t="shared" si="10"/>
        <v>0</v>
      </c>
      <c r="AG22" s="1124">
        <f t="shared" si="11"/>
        <v>0</v>
      </c>
      <c r="AH22" s="1124">
        <f>AF22*'(参考)排出係数'!$F$3+AG22*'(参考)排出係数'!$F$14</f>
        <v>0</v>
      </c>
      <c r="AI22" s="1124">
        <f t="shared" si="12"/>
        <v>0</v>
      </c>
      <c r="AJ22" s="1124">
        <f t="shared" ref="AJ22:AJ28" si="16">T22-AG22</f>
        <v>0</v>
      </c>
      <c r="AK22" s="1124">
        <f t="shared" si="13"/>
        <v>0</v>
      </c>
      <c r="AL22" s="33"/>
    </row>
    <row r="23" spans="1:38" s="85" customFormat="1" ht="18.75" customHeight="1">
      <c r="A23" s="33"/>
      <c r="B23" s="44" t="s">
        <v>180</v>
      </c>
      <c r="C23" s="1120"/>
      <c r="D23" s="1047"/>
      <c r="E23" s="1047"/>
      <c r="F23" s="1121">
        <f t="shared" si="6"/>
        <v>1</v>
      </c>
      <c r="G23" s="1133"/>
      <c r="H23" s="1133"/>
      <c r="I23" s="1133"/>
      <c r="J23" s="1133"/>
      <c r="K23" s="1047"/>
      <c r="L23" s="1123">
        <f t="shared" si="14"/>
        <v>0</v>
      </c>
      <c r="M23" s="1133"/>
      <c r="N23" s="1133"/>
      <c r="O23" s="1133"/>
      <c r="P23" s="1133"/>
      <c r="Q23" s="1047"/>
      <c r="R23" s="1123">
        <f t="shared" si="15"/>
        <v>0</v>
      </c>
      <c r="S23" s="1124">
        <f t="shared" si="7"/>
        <v>0</v>
      </c>
      <c r="T23" s="1124">
        <f t="shared" si="8"/>
        <v>0</v>
      </c>
      <c r="U23" s="1124">
        <f>S23*'(参考)排出係数'!$F$3+T23*'(参考)排出係数'!$F$14</f>
        <v>0</v>
      </c>
      <c r="V23" s="1120"/>
      <c r="W23" s="1047"/>
      <c r="X23" s="1133"/>
      <c r="Y23" s="1133"/>
      <c r="Z23" s="1133"/>
      <c r="AA23" s="1123">
        <f t="shared" si="1"/>
        <v>0</v>
      </c>
      <c r="AB23" s="1133"/>
      <c r="AC23" s="1133"/>
      <c r="AD23" s="1133"/>
      <c r="AE23" s="1123">
        <f t="shared" si="9"/>
        <v>0</v>
      </c>
      <c r="AF23" s="1124">
        <f t="shared" si="10"/>
        <v>0</v>
      </c>
      <c r="AG23" s="1124">
        <f t="shared" si="11"/>
        <v>0</v>
      </c>
      <c r="AH23" s="1124">
        <f>AF23*'(参考)排出係数'!$F$3+AG23*'(参考)排出係数'!$F$14</f>
        <v>0</v>
      </c>
      <c r="AI23" s="1124">
        <f t="shared" si="12"/>
        <v>0</v>
      </c>
      <c r="AJ23" s="1124">
        <f t="shared" si="16"/>
        <v>0</v>
      </c>
      <c r="AK23" s="1124">
        <f t="shared" si="13"/>
        <v>0</v>
      </c>
      <c r="AL23" s="33"/>
    </row>
    <row r="24" spans="1:38" s="85" customFormat="1" ht="18.75" customHeight="1">
      <c r="A24" s="33"/>
      <c r="B24" s="44" t="s">
        <v>181</v>
      </c>
      <c r="C24" s="1120"/>
      <c r="D24" s="1047"/>
      <c r="E24" s="1047"/>
      <c r="F24" s="1121">
        <f>IF(D24="",1,MIN(1.5,(2026-D24)*0.05+1))</f>
        <v>1</v>
      </c>
      <c r="G24" s="1133"/>
      <c r="H24" s="1133"/>
      <c r="I24" s="1133"/>
      <c r="J24" s="1133"/>
      <c r="K24" s="1047"/>
      <c r="L24" s="1123">
        <f t="shared" si="14"/>
        <v>0</v>
      </c>
      <c r="M24" s="1133"/>
      <c r="N24" s="1133"/>
      <c r="O24" s="1133"/>
      <c r="P24" s="1133"/>
      <c r="Q24" s="1047"/>
      <c r="R24" s="1123">
        <f t="shared" si="15"/>
        <v>0</v>
      </c>
      <c r="S24" s="1124">
        <f t="shared" si="7"/>
        <v>0</v>
      </c>
      <c r="T24" s="1124">
        <f t="shared" si="8"/>
        <v>0</v>
      </c>
      <c r="U24" s="1124">
        <f>S24*'(参考)排出係数'!$F$3+T24*'(参考)排出係数'!$F$14</f>
        <v>0</v>
      </c>
      <c r="V24" s="1120"/>
      <c r="W24" s="1047"/>
      <c r="X24" s="1133"/>
      <c r="Y24" s="1133"/>
      <c r="Z24" s="1133"/>
      <c r="AA24" s="1123">
        <f t="shared" si="1"/>
        <v>0</v>
      </c>
      <c r="AB24" s="1133"/>
      <c r="AC24" s="1133"/>
      <c r="AD24" s="1133"/>
      <c r="AE24" s="1123">
        <f t="shared" si="9"/>
        <v>0</v>
      </c>
      <c r="AF24" s="1124">
        <f t="shared" si="10"/>
        <v>0</v>
      </c>
      <c r="AG24" s="1124">
        <f t="shared" si="11"/>
        <v>0</v>
      </c>
      <c r="AH24" s="1124">
        <f>AF24*'(参考)排出係数'!$F$3+AG24*'(参考)排出係数'!$F$14</f>
        <v>0</v>
      </c>
      <c r="AI24" s="1124">
        <f t="shared" si="12"/>
        <v>0</v>
      </c>
      <c r="AJ24" s="1124">
        <f t="shared" si="16"/>
        <v>0</v>
      </c>
      <c r="AK24" s="1124">
        <f t="shared" si="13"/>
        <v>0</v>
      </c>
      <c r="AL24" s="33"/>
    </row>
    <row r="25" spans="1:38" s="85" customFormat="1" ht="18.75" customHeight="1">
      <c r="A25" s="33"/>
      <c r="B25" s="44" t="s">
        <v>182</v>
      </c>
      <c r="C25" s="1120"/>
      <c r="D25" s="1047"/>
      <c r="E25" s="1047"/>
      <c r="F25" s="1121">
        <f t="shared" si="6"/>
        <v>1</v>
      </c>
      <c r="G25" s="1133"/>
      <c r="H25" s="1133"/>
      <c r="I25" s="1133"/>
      <c r="J25" s="1133"/>
      <c r="K25" s="1047"/>
      <c r="L25" s="1123">
        <f t="shared" si="14"/>
        <v>0</v>
      </c>
      <c r="M25" s="1133"/>
      <c r="N25" s="1133"/>
      <c r="O25" s="1133"/>
      <c r="P25" s="1133"/>
      <c r="Q25" s="1047"/>
      <c r="R25" s="1123">
        <f t="shared" si="15"/>
        <v>0</v>
      </c>
      <c r="S25" s="1124">
        <f t="shared" si="7"/>
        <v>0</v>
      </c>
      <c r="T25" s="1124">
        <f t="shared" si="8"/>
        <v>0</v>
      </c>
      <c r="U25" s="1124">
        <f>S25*'(参考)排出係数'!$F$3+T25*'(参考)排出係数'!$F$14</f>
        <v>0</v>
      </c>
      <c r="V25" s="1120"/>
      <c r="W25" s="1047"/>
      <c r="X25" s="1133"/>
      <c r="Y25" s="1133"/>
      <c r="Z25" s="1133"/>
      <c r="AA25" s="1123">
        <f t="shared" si="1"/>
        <v>0</v>
      </c>
      <c r="AB25" s="1133"/>
      <c r="AC25" s="1133"/>
      <c r="AD25" s="1133"/>
      <c r="AE25" s="1123">
        <f t="shared" si="9"/>
        <v>0</v>
      </c>
      <c r="AF25" s="1124">
        <f t="shared" si="10"/>
        <v>0</v>
      </c>
      <c r="AG25" s="1124">
        <f t="shared" si="11"/>
        <v>0</v>
      </c>
      <c r="AH25" s="1124">
        <f>AF25*'(参考)排出係数'!$F$3+AG25*'(参考)排出係数'!$F$14</f>
        <v>0</v>
      </c>
      <c r="AI25" s="1124">
        <f t="shared" si="12"/>
        <v>0</v>
      </c>
      <c r="AJ25" s="1124">
        <f t="shared" si="16"/>
        <v>0</v>
      </c>
      <c r="AK25" s="1124">
        <f t="shared" si="13"/>
        <v>0</v>
      </c>
      <c r="AL25" s="33"/>
    </row>
    <row r="26" spans="1:38" s="85" customFormat="1" ht="18.75" customHeight="1">
      <c r="A26" s="33"/>
      <c r="B26" s="44" t="s">
        <v>183</v>
      </c>
      <c r="C26" s="1120"/>
      <c r="D26" s="1047"/>
      <c r="E26" s="1047"/>
      <c r="F26" s="1121">
        <f t="shared" si="6"/>
        <v>1</v>
      </c>
      <c r="G26" s="1133"/>
      <c r="H26" s="1133"/>
      <c r="I26" s="1133"/>
      <c r="J26" s="1133"/>
      <c r="K26" s="1047"/>
      <c r="L26" s="1123">
        <f t="shared" si="14"/>
        <v>0</v>
      </c>
      <c r="M26" s="1133"/>
      <c r="N26" s="1133"/>
      <c r="O26" s="1133"/>
      <c r="P26" s="1133"/>
      <c r="Q26" s="1047"/>
      <c r="R26" s="1123">
        <f t="shared" si="15"/>
        <v>0</v>
      </c>
      <c r="S26" s="1124">
        <f t="shared" si="7"/>
        <v>0</v>
      </c>
      <c r="T26" s="1124">
        <f t="shared" si="8"/>
        <v>0</v>
      </c>
      <c r="U26" s="1124">
        <f>S26*'(参考)排出係数'!$F$3+T26*'(参考)排出係数'!$F$14</f>
        <v>0</v>
      </c>
      <c r="V26" s="1120"/>
      <c r="W26" s="1047"/>
      <c r="X26" s="1133"/>
      <c r="Y26" s="1133"/>
      <c r="Z26" s="1133"/>
      <c r="AA26" s="1123">
        <f t="shared" si="1"/>
        <v>0</v>
      </c>
      <c r="AB26" s="1133"/>
      <c r="AC26" s="1133"/>
      <c r="AD26" s="1133"/>
      <c r="AE26" s="1123">
        <f t="shared" si="9"/>
        <v>0</v>
      </c>
      <c r="AF26" s="1124">
        <f t="shared" si="10"/>
        <v>0</v>
      </c>
      <c r="AG26" s="1124">
        <f t="shared" si="11"/>
        <v>0</v>
      </c>
      <c r="AH26" s="1124">
        <f>AF26*'(参考)排出係数'!$F$3+AG26*'(参考)排出係数'!$F$14</f>
        <v>0</v>
      </c>
      <c r="AI26" s="1124">
        <f t="shared" si="12"/>
        <v>0</v>
      </c>
      <c r="AJ26" s="1124">
        <f t="shared" si="16"/>
        <v>0</v>
      </c>
      <c r="AK26" s="1124">
        <f t="shared" si="13"/>
        <v>0</v>
      </c>
      <c r="AL26" s="33"/>
    </row>
    <row r="27" spans="1:38" s="85" customFormat="1" ht="18.75" customHeight="1">
      <c r="A27" s="33"/>
      <c r="B27" s="44" t="s">
        <v>184</v>
      </c>
      <c r="C27" s="1120"/>
      <c r="D27" s="1047"/>
      <c r="E27" s="1047"/>
      <c r="F27" s="1121">
        <f t="shared" si="6"/>
        <v>1</v>
      </c>
      <c r="G27" s="1133"/>
      <c r="H27" s="1133"/>
      <c r="I27" s="1133"/>
      <c r="J27" s="1133"/>
      <c r="K27" s="1047"/>
      <c r="L27" s="1123">
        <f t="shared" si="14"/>
        <v>0</v>
      </c>
      <c r="M27" s="1133"/>
      <c r="N27" s="1133"/>
      <c r="O27" s="1133"/>
      <c r="P27" s="1133"/>
      <c r="Q27" s="1047"/>
      <c r="R27" s="1123">
        <f t="shared" si="15"/>
        <v>0</v>
      </c>
      <c r="S27" s="1124">
        <f t="shared" si="7"/>
        <v>0</v>
      </c>
      <c r="T27" s="1124">
        <f t="shared" si="8"/>
        <v>0</v>
      </c>
      <c r="U27" s="1124">
        <f>S27*'(参考)排出係数'!$F$3+T27*'(参考)排出係数'!$F$14</f>
        <v>0</v>
      </c>
      <c r="V27" s="1120"/>
      <c r="W27" s="1047"/>
      <c r="X27" s="1133"/>
      <c r="Y27" s="1133"/>
      <c r="Z27" s="1133"/>
      <c r="AA27" s="1123">
        <f t="shared" si="1"/>
        <v>0</v>
      </c>
      <c r="AB27" s="1133"/>
      <c r="AC27" s="1133"/>
      <c r="AD27" s="1133"/>
      <c r="AE27" s="1123">
        <f t="shared" si="9"/>
        <v>0</v>
      </c>
      <c r="AF27" s="1124">
        <f t="shared" si="10"/>
        <v>0</v>
      </c>
      <c r="AG27" s="1124">
        <f t="shared" si="11"/>
        <v>0</v>
      </c>
      <c r="AH27" s="1124">
        <f>AF27*'(参考)排出係数'!$F$3+AG27*'(参考)排出係数'!$F$14</f>
        <v>0</v>
      </c>
      <c r="AI27" s="1124">
        <f t="shared" si="12"/>
        <v>0</v>
      </c>
      <c r="AJ27" s="1124">
        <f t="shared" si="16"/>
        <v>0</v>
      </c>
      <c r="AK27" s="1124">
        <f t="shared" si="13"/>
        <v>0</v>
      </c>
      <c r="AL27" s="33"/>
    </row>
    <row r="28" spans="1:38" s="85" customFormat="1" ht="18.75" customHeight="1">
      <c r="A28" s="33"/>
      <c r="B28" s="44" t="s">
        <v>185</v>
      </c>
      <c r="C28" s="1120"/>
      <c r="D28" s="1047"/>
      <c r="E28" s="1047"/>
      <c r="F28" s="1121">
        <f t="shared" si="6"/>
        <v>1</v>
      </c>
      <c r="G28" s="1133"/>
      <c r="H28" s="1133"/>
      <c r="I28" s="1133"/>
      <c r="J28" s="1133"/>
      <c r="K28" s="1047"/>
      <c r="L28" s="1123">
        <f t="shared" si="14"/>
        <v>0</v>
      </c>
      <c r="M28" s="1133"/>
      <c r="N28" s="1133"/>
      <c r="O28" s="1133"/>
      <c r="P28" s="1133"/>
      <c r="Q28" s="1047"/>
      <c r="R28" s="1123">
        <f t="shared" si="15"/>
        <v>0</v>
      </c>
      <c r="S28" s="1124">
        <f t="shared" si="7"/>
        <v>0</v>
      </c>
      <c r="T28" s="1124">
        <f t="shared" si="8"/>
        <v>0</v>
      </c>
      <c r="U28" s="1124">
        <f>S28*'(参考)排出係数'!$F$3+T28*'(参考)排出係数'!$F$14</f>
        <v>0</v>
      </c>
      <c r="V28" s="1120"/>
      <c r="W28" s="1047"/>
      <c r="X28" s="1133"/>
      <c r="Y28" s="1133"/>
      <c r="Z28" s="1133"/>
      <c r="AA28" s="1123">
        <f t="shared" si="1"/>
        <v>0</v>
      </c>
      <c r="AB28" s="1133"/>
      <c r="AC28" s="1133"/>
      <c r="AD28" s="1133"/>
      <c r="AE28" s="1123">
        <f t="shared" si="9"/>
        <v>0</v>
      </c>
      <c r="AF28" s="1124">
        <f t="shared" si="10"/>
        <v>0</v>
      </c>
      <c r="AG28" s="1124">
        <f t="shared" si="11"/>
        <v>0</v>
      </c>
      <c r="AH28" s="1124">
        <f>AF28*'(参考)排出係数'!$F$3+AG28*'(参考)排出係数'!$F$14</f>
        <v>0</v>
      </c>
      <c r="AI28" s="1124">
        <f t="shared" si="12"/>
        <v>0</v>
      </c>
      <c r="AJ28" s="1124">
        <f t="shared" si="16"/>
        <v>0</v>
      </c>
      <c r="AK28" s="1124">
        <f t="shared" si="13"/>
        <v>0</v>
      </c>
      <c r="AL28" s="33"/>
    </row>
    <row r="29" spans="1:38" s="85" customFormat="1" ht="18.75" customHeight="1">
      <c r="A29" s="33"/>
      <c r="B29" s="44" t="s">
        <v>186</v>
      </c>
      <c r="C29" s="1120"/>
      <c r="D29" s="1047"/>
      <c r="E29" s="1047"/>
      <c r="F29" s="1121">
        <f t="shared" si="6"/>
        <v>1</v>
      </c>
      <c r="G29" s="1133"/>
      <c r="H29" s="1133"/>
      <c r="I29" s="1133"/>
      <c r="J29" s="1133"/>
      <c r="K29" s="1047"/>
      <c r="L29" s="1123">
        <f t="shared" ref="L29:L39" si="17">J29*K29</f>
        <v>0</v>
      </c>
      <c r="M29" s="1133"/>
      <c r="N29" s="1133"/>
      <c r="O29" s="1133"/>
      <c r="P29" s="1133"/>
      <c r="Q29" s="1047"/>
      <c r="R29" s="1123">
        <f t="shared" ref="R29:R39" si="18">P29*Q29</f>
        <v>0</v>
      </c>
      <c r="S29" s="1124">
        <f t="shared" si="7"/>
        <v>0</v>
      </c>
      <c r="T29" s="1124">
        <f t="shared" si="8"/>
        <v>0</v>
      </c>
      <c r="U29" s="1124">
        <f>S29*'(参考)排出係数'!$F$3+T29*'(参考)排出係数'!$F$14</f>
        <v>0</v>
      </c>
      <c r="V29" s="1120"/>
      <c r="W29" s="1047"/>
      <c r="X29" s="1133"/>
      <c r="Y29" s="1133"/>
      <c r="Z29" s="1133"/>
      <c r="AA29" s="1123">
        <f t="shared" ref="AA29:AA39" si="19">IF(L29=0,0,L29)</f>
        <v>0</v>
      </c>
      <c r="AB29" s="1133"/>
      <c r="AC29" s="1133"/>
      <c r="AD29" s="1133"/>
      <c r="AE29" s="1123">
        <f t="shared" ref="AE29:AE39" si="20">IF(R29=0,0,R29)</f>
        <v>0</v>
      </c>
      <c r="AF29" s="1124">
        <f t="shared" si="10"/>
        <v>0</v>
      </c>
      <c r="AG29" s="1124">
        <f t="shared" si="11"/>
        <v>0</v>
      </c>
      <c r="AH29" s="1124">
        <f>AF29*'(参考)排出係数'!$F$3+AG29*'(参考)排出係数'!$F$14</f>
        <v>0</v>
      </c>
      <c r="AI29" s="1124">
        <f t="shared" ref="AI29:AI39" si="21">S29-AF29</f>
        <v>0</v>
      </c>
      <c r="AJ29" s="1124">
        <f t="shared" ref="AJ29:AJ39" si="22">T29-AG29</f>
        <v>0</v>
      </c>
      <c r="AK29" s="1124">
        <f t="shared" ref="AK29:AK39" si="23">U29-AH29</f>
        <v>0</v>
      </c>
      <c r="AL29" s="33"/>
    </row>
    <row r="30" spans="1:38" s="85" customFormat="1" ht="18.75" customHeight="1">
      <c r="A30" s="33"/>
      <c r="B30" s="44" t="s">
        <v>403</v>
      </c>
      <c r="C30" s="1120"/>
      <c r="D30" s="1047"/>
      <c r="E30" s="1047"/>
      <c r="F30" s="1121">
        <f t="shared" si="6"/>
        <v>1</v>
      </c>
      <c r="G30" s="1133"/>
      <c r="H30" s="1133"/>
      <c r="I30" s="1133"/>
      <c r="J30" s="1133"/>
      <c r="K30" s="1047"/>
      <c r="L30" s="1123">
        <f t="shared" si="17"/>
        <v>0</v>
      </c>
      <c r="M30" s="1133"/>
      <c r="N30" s="1133"/>
      <c r="O30" s="1133"/>
      <c r="P30" s="1133"/>
      <c r="Q30" s="1047"/>
      <c r="R30" s="1123">
        <f t="shared" si="18"/>
        <v>0</v>
      </c>
      <c r="S30" s="1124">
        <f t="shared" si="7"/>
        <v>0</v>
      </c>
      <c r="T30" s="1124">
        <f t="shared" si="8"/>
        <v>0</v>
      </c>
      <c r="U30" s="1124">
        <f>S30*'(参考)排出係数'!$F$3+T30*'(参考)排出係数'!$F$14</f>
        <v>0</v>
      </c>
      <c r="V30" s="1120"/>
      <c r="W30" s="1047"/>
      <c r="X30" s="1133"/>
      <c r="Y30" s="1133"/>
      <c r="Z30" s="1133"/>
      <c r="AA30" s="1123">
        <f t="shared" si="19"/>
        <v>0</v>
      </c>
      <c r="AB30" s="1133"/>
      <c r="AC30" s="1133"/>
      <c r="AD30" s="1133"/>
      <c r="AE30" s="1123">
        <f t="shared" si="20"/>
        <v>0</v>
      </c>
      <c r="AF30" s="1124">
        <f t="shared" si="10"/>
        <v>0</v>
      </c>
      <c r="AG30" s="1124">
        <f t="shared" si="11"/>
        <v>0</v>
      </c>
      <c r="AH30" s="1124">
        <f>AF30*'(参考)排出係数'!$F$3+AG30*'(参考)排出係数'!$F$14</f>
        <v>0</v>
      </c>
      <c r="AI30" s="1124">
        <f t="shared" si="21"/>
        <v>0</v>
      </c>
      <c r="AJ30" s="1124">
        <f t="shared" si="22"/>
        <v>0</v>
      </c>
      <c r="AK30" s="1124">
        <f t="shared" si="23"/>
        <v>0</v>
      </c>
      <c r="AL30" s="33"/>
    </row>
    <row r="31" spans="1:38" s="85" customFormat="1" ht="18.75" customHeight="1">
      <c r="A31" s="33"/>
      <c r="B31" s="44" t="s">
        <v>404</v>
      </c>
      <c r="C31" s="1120"/>
      <c r="D31" s="1047"/>
      <c r="E31" s="1047"/>
      <c r="F31" s="1121">
        <f t="shared" si="6"/>
        <v>1</v>
      </c>
      <c r="G31" s="1133"/>
      <c r="H31" s="1133"/>
      <c r="I31" s="1133"/>
      <c r="J31" s="1133"/>
      <c r="K31" s="1047"/>
      <c r="L31" s="1123">
        <f t="shared" si="17"/>
        <v>0</v>
      </c>
      <c r="M31" s="1133"/>
      <c r="N31" s="1133"/>
      <c r="O31" s="1133"/>
      <c r="P31" s="1133"/>
      <c r="Q31" s="1047"/>
      <c r="R31" s="1123">
        <f t="shared" si="18"/>
        <v>0</v>
      </c>
      <c r="S31" s="1124">
        <f t="shared" si="7"/>
        <v>0</v>
      </c>
      <c r="T31" s="1124">
        <f t="shared" si="8"/>
        <v>0</v>
      </c>
      <c r="U31" s="1124">
        <f>S31*'(参考)排出係数'!$F$3+T31*'(参考)排出係数'!$F$14</f>
        <v>0</v>
      </c>
      <c r="V31" s="1120"/>
      <c r="W31" s="1047"/>
      <c r="X31" s="1133"/>
      <c r="Y31" s="1133"/>
      <c r="Z31" s="1133"/>
      <c r="AA31" s="1123">
        <f t="shared" si="19"/>
        <v>0</v>
      </c>
      <c r="AB31" s="1133"/>
      <c r="AC31" s="1133"/>
      <c r="AD31" s="1133"/>
      <c r="AE31" s="1123">
        <f t="shared" si="20"/>
        <v>0</v>
      </c>
      <c r="AF31" s="1124">
        <f t="shared" si="10"/>
        <v>0</v>
      </c>
      <c r="AG31" s="1124">
        <f t="shared" si="11"/>
        <v>0</v>
      </c>
      <c r="AH31" s="1124">
        <f>AF31*'(参考)排出係数'!$F$3+AG31*'(参考)排出係数'!$F$14</f>
        <v>0</v>
      </c>
      <c r="AI31" s="1124">
        <f t="shared" si="21"/>
        <v>0</v>
      </c>
      <c r="AJ31" s="1124">
        <f t="shared" si="22"/>
        <v>0</v>
      </c>
      <c r="AK31" s="1124">
        <f t="shared" si="23"/>
        <v>0</v>
      </c>
      <c r="AL31" s="33"/>
    </row>
    <row r="32" spans="1:38" s="85" customFormat="1" ht="18.75" customHeight="1">
      <c r="A32" s="33"/>
      <c r="B32" s="44" t="s">
        <v>405</v>
      </c>
      <c r="C32" s="1120"/>
      <c r="D32" s="1047"/>
      <c r="E32" s="1047"/>
      <c r="F32" s="1121">
        <f t="shared" si="6"/>
        <v>1</v>
      </c>
      <c r="G32" s="1133"/>
      <c r="H32" s="1133"/>
      <c r="I32" s="1133"/>
      <c r="J32" s="1133"/>
      <c r="K32" s="1047"/>
      <c r="L32" s="1123">
        <f t="shared" si="17"/>
        <v>0</v>
      </c>
      <c r="M32" s="1133"/>
      <c r="N32" s="1133"/>
      <c r="O32" s="1133"/>
      <c r="P32" s="1133"/>
      <c r="Q32" s="1047"/>
      <c r="R32" s="1123">
        <f t="shared" si="18"/>
        <v>0</v>
      </c>
      <c r="S32" s="1124">
        <f t="shared" si="7"/>
        <v>0</v>
      </c>
      <c r="T32" s="1124">
        <f t="shared" si="8"/>
        <v>0</v>
      </c>
      <c r="U32" s="1124">
        <f>S32*'(参考)排出係数'!$F$3+T32*'(参考)排出係数'!$F$14</f>
        <v>0</v>
      </c>
      <c r="V32" s="1120"/>
      <c r="W32" s="1047"/>
      <c r="X32" s="1133"/>
      <c r="Y32" s="1133"/>
      <c r="Z32" s="1133"/>
      <c r="AA32" s="1123">
        <f t="shared" si="19"/>
        <v>0</v>
      </c>
      <c r="AB32" s="1133"/>
      <c r="AC32" s="1133"/>
      <c r="AD32" s="1133"/>
      <c r="AE32" s="1123">
        <f t="shared" si="20"/>
        <v>0</v>
      </c>
      <c r="AF32" s="1124">
        <f t="shared" si="10"/>
        <v>0</v>
      </c>
      <c r="AG32" s="1124">
        <f t="shared" si="11"/>
        <v>0</v>
      </c>
      <c r="AH32" s="1124">
        <f>AF32*'(参考)排出係数'!$F$3+AG32*'(参考)排出係数'!$F$14</f>
        <v>0</v>
      </c>
      <c r="AI32" s="1124">
        <f t="shared" si="21"/>
        <v>0</v>
      </c>
      <c r="AJ32" s="1124">
        <f t="shared" si="22"/>
        <v>0</v>
      </c>
      <c r="AK32" s="1124">
        <f t="shared" si="23"/>
        <v>0</v>
      </c>
      <c r="AL32" s="33"/>
    </row>
    <row r="33" spans="1:38" s="85" customFormat="1" ht="18.75" customHeight="1">
      <c r="A33" s="33"/>
      <c r="B33" s="44" t="s">
        <v>406</v>
      </c>
      <c r="C33" s="1120"/>
      <c r="D33" s="1047"/>
      <c r="E33" s="1047"/>
      <c r="F33" s="1121">
        <f t="shared" si="6"/>
        <v>1</v>
      </c>
      <c r="G33" s="1133"/>
      <c r="H33" s="1133"/>
      <c r="I33" s="1133"/>
      <c r="J33" s="1133"/>
      <c r="K33" s="1047"/>
      <c r="L33" s="1123">
        <f t="shared" si="17"/>
        <v>0</v>
      </c>
      <c r="M33" s="1133"/>
      <c r="N33" s="1133"/>
      <c r="O33" s="1133"/>
      <c r="P33" s="1133"/>
      <c r="Q33" s="1047"/>
      <c r="R33" s="1123">
        <f t="shared" si="18"/>
        <v>0</v>
      </c>
      <c r="S33" s="1124">
        <f t="shared" si="7"/>
        <v>0</v>
      </c>
      <c r="T33" s="1124">
        <f t="shared" si="8"/>
        <v>0</v>
      </c>
      <c r="U33" s="1124">
        <f>S33*'(参考)排出係数'!$F$3+T33*'(参考)排出係数'!$F$14</f>
        <v>0</v>
      </c>
      <c r="V33" s="1120"/>
      <c r="W33" s="1047"/>
      <c r="X33" s="1133"/>
      <c r="Y33" s="1133"/>
      <c r="Z33" s="1133"/>
      <c r="AA33" s="1123">
        <f t="shared" si="19"/>
        <v>0</v>
      </c>
      <c r="AB33" s="1133"/>
      <c r="AC33" s="1133"/>
      <c r="AD33" s="1133"/>
      <c r="AE33" s="1123">
        <f t="shared" si="20"/>
        <v>0</v>
      </c>
      <c r="AF33" s="1124">
        <f t="shared" si="10"/>
        <v>0</v>
      </c>
      <c r="AG33" s="1124">
        <f t="shared" si="11"/>
        <v>0</v>
      </c>
      <c r="AH33" s="1124">
        <f>AF33*'(参考)排出係数'!$F$3+AG33*'(参考)排出係数'!$F$14</f>
        <v>0</v>
      </c>
      <c r="AI33" s="1124">
        <f t="shared" si="21"/>
        <v>0</v>
      </c>
      <c r="AJ33" s="1124">
        <f t="shared" si="22"/>
        <v>0</v>
      </c>
      <c r="AK33" s="1124">
        <f t="shared" si="23"/>
        <v>0</v>
      </c>
      <c r="AL33" s="33"/>
    </row>
    <row r="34" spans="1:38" s="85" customFormat="1" ht="18.75" customHeight="1">
      <c r="A34" s="33"/>
      <c r="B34" s="44" t="s">
        <v>407</v>
      </c>
      <c r="C34" s="1120"/>
      <c r="D34" s="1047"/>
      <c r="E34" s="1047"/>
      <c r="F34" s="1121">
        <f t="shared" si="6"/>
        <v>1</v>
      </c>
      <c r="G34" s="1133"/>
      <c r="H34" s="1133"/>
      <c r="I34" s="1133"/>
      <c r="J34" s="1133"/>
      <c r="K34" s="1047"/>
      <c r="L34" s="1123">
        <f t="shared" si="17"/>
        <v>0</v>
      </c>
      <c r="M34" s="1133"/>
      <c r="N34" s="1133"/>
      <c r="O34" s="1133"/>
      <c r="P34" s="1133"/>
      <c r="Q34" s="1047"/>
      <c r="R34" s="1123">
        <f t="shared" si="18"/>
        <v>0</v>
      </c>
      <c r="S34" s="1124">
        <f t="shared" si="7"/>
        <v>0</v>
      </c>
      <c r="T34" s="1124">
        <f t="shared" si="8"/>
        <v>0</v>
      </c>
      <c r="U34" s="1124">
        <f>S34*'(参考)排出係数'!$F$3+T34*'(参考)排出係数'!$F$14</f>
        <v>0</v>
      </c>
      <c r="V34" s="1120"/>
      <c r="W34" s="1047"/>
      <c r="X34" s="1133"/>
      <c r="Y34" s="1133"/>
      <c r="Z34" s="1133"/>
      <c r="AA34" s="1123">
        <f t="shared" si="19"/>
        <v>0</v>
      </c>
      <c r="AB34" s="1133"/>
      <c r="AC34" s="1133"/>
      <c r="AD34" s="1133"/>
      <c r="AE34" s="1123">
        <f t="shared" si="20"/>
        <v>0</v>
      </c>
      <c r="AF34" s="1124">
        <f t="shared" si="10"/>
        <v>0</v>
      </c>
      <c r="AG34" s="1124">
        <f t="shared" si="11"/>
        <v>0</v>
      </c>
      <c r="AH34" s="1124">
        <f>AF34*'(参考)排出係数'!$F$3+AG34*'(参考)排出係数'!$F$14</f>
        <v>0</v>
      </c>
      <c r="AI34" s="1124">
        <f t="shared" si="21"/>
        <v>0</v>
      </c>
      <c r="AJ34" s="1124">
        <f t="shared" si="22"/>
        <v>0</v>
      </c>
      <c r="AK34" s="1124">
        <f t="shared" si="23"/>
        <v>0</v>
      </c>
      <c r="AL34" s="33"/>
    </row>
    <row r="35" spans="1:38" s="85" customFormat="1" ht="18.75" customHeight="1">
      <c r="A35" s="33"/>
      <c r="B35" s="44" t="s">
        <v>408</v>
      </c>
      <c r="C35" s="1120"/>
      <c r="D35" s="1047"/>
      <c r="E35" s="1047"/>
      <c r="F35" s="1121">
        <f t="shared" si="6"/>
        <v>1</v>
      </c>
      <c r="G35" s="1133"/>
      <c r="H35" s="1133"/>
      <c r="I35" s="1133"/>
      <c r="J35" s="1133"/>
      <c r="K35" s="1047"/>
      <c r="L35" s="1123">
        <f t="shared" si="17"/>
        <v>0</v>
      </c>
      <c r="M35" s="1133"/>
      <c r="N35" s="1133"/>
      <c r="O35" s="1133"/>
      <c r="P35" s="1133"/>
      <c r="Q35" s="1047"/>
      <c r="R35" s="1123">
        <f t="shared" si="18"/>
        <v>0</v>
      </c>
      <c r="S35" s="1124">
        <f t="shared" si="7"/>
        <v>0</v>
      </c>
      <c r="T35" s="1124">
        <f t="shared" si="8"/>
        <v>0</v>
      </c>
      <c r="U35" s="1124">
        <f>S35*'(参考)排出係数'!$F$3+T35*'(参考)排出係数'!$F$14</f>
        <v>0</v>
      </c>
      <c r="V35" s="1120"/>
      <c r="W35" s="1047"/>
      <c r="X35" s="1133"/>
      <c r="Y35" s="1133"/>
      <c r="Z35" s="1133"/>
      <c r="AA35" s="1123">
        <f t="shared" si="19"/>
        <v>0</v>
      </c>
      <c r="AB35" s="1133"/>
      <c r="AC35" s="1133"/>
      <c r="AD35" s="1133"/>
      <c r="AE35" s="1123">
        <f t="shared" si="20"/>
        <v>0</v>
      </c>
      <c r="AF35" s="1124">
        <f t="shared" si="10"/>
        <v>0</v>
      </c>
      <c r="AG35" s="1124">
        <f t="shared" si="11"/>
        <v>0</v>
      </c>
      <c r="AH35" s="1124">
        <f>AF35*'(参考)排出係数'!$F$3+AG35*'(参考)排出係数'!$F$14</f>
        <v>0</v>
      </c>
      <c r="AI35" s="1124">
        <f t="shared" si="21"/>
        <v>0</v>
      </c>
      <c r="AJ35" s="1124">
        <f t="shared" si="22"/>
        <v>0</v>
      </c>
      <c r="AK35" s="1124">
        <f t="shared" si="23"/>
        <v>0</v>
      </c>
      <c r="AL35" s="33"/>
    </row>
    <row r="36" spans="1:38" s="85" customFormat="1" ht="18.75" customHeight="1">
      <c r="A36" s="33"/>
      <c r="B36" s="44" t="s">
        <v>409</v>
      </c>
      <c r="C36" s="1120"/>
      <c r="D36" s="1047"/>
      <c r="E36" s="1047"/>
      <c r="F36" s="1121">
        <f t="shared" si="6"/>
        <v>1</v>
      </c>
      <c r="G36" s="1133"/>
      <c r="H36" s="1133"/>
      <c r="I36" s="1133"/>
      <c r="J36" s="1133"/>
      <c r="K36" s="1047"/>
      <c r="L36" s="1123">
        <f t="shared" si="17"/>
        <v>0</v>
      </c>
      <c r="M36" s="1133"/>
      <c r="N36" s="1133"/>
      <c r="O36" s="1133"/>
      <c r="P36" s="1133"/>
      <c r="Q36" s="1047"/>
      <c r="R36" s="1123">
        <f t="shared" si="18"/>
        <v>0</v>
      </c>
      <c r="S36" s="1124">
        <f t="shared" si="7"/>
        <v>0</v>
      </c>
      <c r="T36" s="1124">
        <f t="shared" si="8"/>
        <v>0</v>
      </c>
      <c r="U36" s="1124">
        <f>S36*'(参考)排出係数'!$F$3+T36*'(参考)排出係数'!$F$14</f>
        <v>0</v>
      </c>
      <c r="V36" s="1120"/>
      <c r="W36" s="1047"/>
      <c r="X36" s="1133"/>
      <c r="Y36" s="1133"/>
      <c r="Z36" s="1133"/>
      <c r="AA36" s="1123">
        <f t="shared" si="19"/>
        <v>0</v>
      </c>
      <c r="AB36" s="1133"/>
      <c r="AC36" s="1133"/>
      <c r="AD36" s="1133"/>
      <c r="AE36" s="1123">
        <f t="shared" si="20"/>
        <v>0</v>
      </c>
      <c r="AF36" s="1124">
        <f t="shared" si="10"/>
        <v>0</v>
      </c>
      <c r="AG36" s="1124">
        <f t="shared" si="11"/>
        <v>0</v>
      </c>
      <c r="AH36" s="1124">
        <f>AF36*'(参考)排出係数'!$F$3+AG36*'(参考)排出係数'!$F$14</f>
        <v>0</v>
      </c>
      <c r="AI36" s="1124">
        <f t="shared" si="21"/>
        <v>0</v>
      </c>
      <c r="AJ36" s="1124">
        <f t="shared" si="22"/>
        <v>0</v>
      </c>
      <c r="AK36" s="1124">
        <f t="shared" si="23"/>
        <v>0</v>
      </c>
      <c r="AL36" s="33"/>
    </row>
    <row r="37" spans="1:38" s="85" customFormat="1" ht="18.75" customHeight="1">
      <c r="A37" s="33"/>
      <c r="B37" s="44" t="s">
        <v>410</v>
      </c>
      <c r="C37" s="1120"/>
      <c r="D37" s="1047"/>
      <c r="E37" s="1047"/>
      <c r="F37" s="1121">
        <f t="shared" si="6"/>
        <v>1</v>
      </c>
      <c r="G37" s="1133"/>
      <c r="H37" s="1133"/>
      <c r="I37" s="1133"/>
      <c r="J37" s="1133"/>
      <c r="K37" s="1047"/>
      <c r="L37" s="1123">
        <f t="shared" si="17"/>
        <v>0</v>
      </c>
      <c r="M37" s="1133"/>
      <c r="N37" s="1133"/>
      <c r="O37" s="1133"/>
      <c r="P37" s="1133"/>
      <c r="Q37" s="1047"/>
      <c r="R37" s="1123">
        <f t="shared" si="18"/>
        <v>0</v>
      </c>
      <c r="S37" s="1124">
        <f t="shared" si="7"/>
        <v>0</v>
      </c>
      <c r="T37" s="1124">
        <f t="shared" si="8"/>
        <v>0</v>
      </c>
      <c r="U37" s="1124">
        <f>S37*'(参考)排出係数'!$F$3+T37*'(参考)排出係数'!$F$14</f>
        <v>0</v>
      </c>
      <c r="V37" s="1120"/>
      <c r="W37" s="1047"/>
      <c r="X37" s="1133"/>
      <c r="Y37" s="1133"/>
      <c r="Z37" s="1133"/>
      <c r="AA37" s="1123">
        <f t="shared" si="19"/>
        <v>0</v>
      </c>
      <c r="AB37" s="1133"/>
      <c r="AC37" s="1133"/>
      <c r="AD37" s="1133"/>
      <c r="AE37" s="1123">
        <f t="shared" si="20"/>
        <v>0</v>
      </c>
      <c r="AF37" s="1124">
        <f t="shared" si="10"/>
        <v>0</v>
      </c>
      <c r="AG37" s="1124">
        <f t="shared" si="11"/>
        <v>0</v>
      </c>
      <c r="AH37" s="1124">
        <f>AF37*'(参考)排出係数'!$F$3+AG37*'(参考)排出係数'!$F$14</f>
        <v>0</v>
      </c>
      <c r="AI37" s="1124">
        <f t="shared" si="21"/>
        <v>0</v>
      </c>
      <c r="AJ37" s="1124">
        <f t="shared" si="22"/>
        <v>0</v>
      </c>
      <c r="AK37" s="1124">
        <f t="shared" si="23"/>
        <v>0</v>
      </c>
      <c r="AL37" s="33"/>
    </row>
    <row r="38" spans="1:38" s="85" customFormat="1" ht="18.75" customHeight="1">
      <c r="A38" s="33"/>
      <c r="B38" s="44" t="s">
        <v>411</v>
      </c>
      <c r="C38" s="1120"/>
      <c r="D38" s="1047"/>
      <c r="E38" s="1047"/>
      <c r="F38" s="1121">
        <f t="shared" si="6"/>
        <v>1</v>
      </c>
      <c r="G38" s="1133"/>
      <c r="H38" s="1133"/>
      <c r="I38" s="1133"/>
      <c r="J38" s="1133"/>
      <c r="K38" s="1047"/>
      <c r="L38" s="1123">
        <f t="shared" si="17"/>
        <v>0</v>
      </c>
      <c r="M38" s="1133"/>
      <c r="N38" s="1133"/>
      <c r="O38" s="1133"/>
      <c r="P38" s="1133"/>
      <c r="Q38" s="1047"/>
      <c r="R38" s="1123">
        <f t="shared" si="18"/>
        <v>0</v>
      </c>
      <c r="S38" s="1124">
        <f t="shared" si="7"/>
        <v>0</v>
      </c>
      <c r="T38" s="1124">
        <f t="shared" si="8"/>
        <v>0</v>
      </c>
      <c r="U38" s="1124">
        <f>S38*'(参考)排出係数'!$F$3+T38*'(参考)排出係数'!$F$14</f>
        <v>0</v>
      </c>
      <c r="V38" s="1120"/>
      <c r="W38" s="1047"/>
      <c r="X38" s="1133"/>
      <c r="Y38" s="1133"/>
      <c r="Z38" s="1133"/>
      <c r="AA38" s="1123">
        <f t="shared" si="19"/>
        <v>0</v>
      </c>
      <c r="AB38" s="1133"/>
      <c r="AC38" s="1133"/>
      <c r="AD38" s="1133"/>
      <c r="AE38" s="1123">
        <f t="shared" si="20"/>
        <v>0</v>
      </c>
      <c r="AF38" s="1124">
        <f t="shared" si="10"/>
        <v>0</v>
      </c>
      <c r="AG38" s="1124">
        <f t="shared" si="11"/>
        <v>0</v>
      </c>
      <c r="AH38" s="1124">
        <f>AF38*'(参考)排出係数'!$F$3+AG38*'(参考)排出係数'!$F$14</f>
        <v>0</v>
      </c>
      <c r="AI38" s="1124">
        <f t="shared" si="21"/>
        <v>0</v>
      </c>
      <c r="AJ38" s="1124">
        <f t="shared" si="22"/>
        <v>0</v>
      </c>
      <c r="AK38" s="1124">
        <f t="shared" si="23"/>
        <v>0</v>
      </c>
      <c r="AL38" s="33"/>
    </row>
    <row r="39" spans="1:38" s="85" customFormat="1" ht="18.75" customHeight="1">
      <c r="A39" s="33"/>
      <c r="B39" s="44" t="s">
        <v>412</v>
      </c>
      <c r="C39" s="1120"/>
      <c r="D39" s="1047"/>
      <c r="E39" s="1047"/>
      <c r="F39" s="1121">
        <f t="shared" si="6"/>
        <v>1</v>
      </c>
      <c r="G39" s="1133"/>
      <c r="H39" s="1133"/>
      <c r="I39" s="1133"/>
      <c r="J39" s="1133"/>
      <c r="K39" s="1047"/>
      <c r="L39" s="1123">
        <f t="shared" si="17"/>
        <v>0</v>
      </c>
      <c r="M39" s="1133"/>
      <c r="N39" s="1133"/>
      <c r="O39" s="1133"/>
      <c r="P39" s="1133"/>
      <c r="Q39" s="1047"/>
      <c r="R39" s="1123">
        <f t="shared" si="18"/>
        <v>0</v>
      </c>
      <c r="S39" s="1124">
        <f t="shared" si="7"/>
        <v>0</v>
      </c>
      <c r="T39" s="1124">
        <f t="shared" si="8"/>
        <v>0</v>
      </c>
      <c r="U39" s="1124">
        <f>S39*'(参考)排出係数'!$F$3+T39*'(参考)排出係数'!$F$14</f>
        <v>0</v>
      </c>
      <c r="V39" s="1120"/>
      <c r="W39" s="1047"/>
      <c r="X39" s="1133"/>
      <c r="Y39" s="1133"/>
      <c r="Z39" s="1133"/>
      <c r="AA39" s="1123">
        <f t="shared" si="19"/>
        <v>0</v>
      </c>
      <c r="AB39" s="1133"/>
      <c r="AC39" s="1133"/>
      <c r="AD39" s="1133"/>
      <c r="AE39" s="1123">
        <f t="shared" si="20"/>
        <v>0</v>
      </c>
      <c r="AF39" s="1124">
        <f t="shared" si="10"/>
        <v>0</v>
      </c>
      <c r="AG39" s="1124">
        <f t="shared" si="11"/>
        <v>0</v>
      </c>
      <c r="AH39" s="1124">
        <f>AF39*'(参考)排出係数'!$F$3+AG39*'(参考)排出係数'!$F$14</f>
        <v>0</v>
      </c>
      <c r="AI39" s="1124">
        <f t="shared" si="21"/>
        <v>0</v>
      </c>
      <c r="AJ39" s="1124">
        <f t="shared" si="22"/>
        <v>0</v>
      </c>
      <c r="AK39" s="1124">
        <f t="shared" si="23"/>
        <v>0</v>
      </c>
      <c r="AL39" s="33"/>
    </row>
    <row r="40" spans="1:38" s="85" customFormat="1" ht="18.7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row>
    <row r="41" spans="1:38" ht="18.75" customHeight="1"/>
    <row r="42" spans="1:38" ht="18.75" customHeight="1"/>
    <row r="43" spans="1:38" ht="18.75" customHeight="1"/>
    <row r="44" spans="1:38" ht="18.75" customHeight="1"/>
    <row r="45" spans="1:38" ht="18.75" customHeight="1"/>
    <row r="46" spans="1:38" ht="18.75" customHeight="1"/>
    <row r="47" spans="1:38" ht="18.75" customHeight="1"/>
    <row r="48" spans="1:38" ht="18.75" customHeight="1"/>
    <row r="49" ht="18.75" customHeight="1"/>
    <row r="50" ht="18.75" customHeight="1"/>
    <row r="51" ht="18.75" customHeight="1"/>
  </sheetData>
  <protectedRanges>
    <protectedRange sqref="F20:F39" name="範囲2"/>
    <protectedRange sqref="L4:U4 H13 J13 C20:E39 G20:K39 M20:Q39 V20:Z39 AB20:AD39" name="範囲1"/>
  </protectedRanges>
  <mergeCells count="6">
    <mergeCell ref="W7:X7"/>
    <mergeCell ref="C11:G11"/>
    <mergeCell ref="B14:B16"/>
    <mergeCell ref="P7:U8"/>
    <mergeCell ref="G10:H10"/>
    <mergeCell ref="G12:J12"/>
  </mergeCells>
  <phoneticPr fontId="2"/>
  <dataValidations count="2">
    <dataValidation type="list" allowBlank="1" showInputMessage="1" showErrorMessage="1" sqref="C10" xr:uid="{EE004A06-D15B-479D-9818-EC5D4308FD3A}">
      <formula1>"都市ガス,液化石油ガス（LPG）"</formula1>
    </dataValidation>
    <dataValidation type="list" allowBlank="1" showInputMessage="1" showErrorMessage="1" sqref="D10" xr:uid="{EE408D5B-4DA9-489C-A096-FB1895DA4F65}">
      <formula1>"13A,12A,LP"</formula1>
    </dataValidation>
  </dataValidations>
  <pageMargins left="0.7" right="0.7" top="0.75" bottom="0.75" header="0.3" footer="0.3"/>
  <pageSetup paperSize="9" scale="31" orientation="landscape" horizontalDpi="0" verticalDpi="0" r:id="rId1"/>
  <colBreaks count="1" manualBreakCount="1">
    <brk id="2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7878D-3E63-421C-9B95-5A903696D305}">
  <sheetPr codeName="Sheet11"/>
  <dimension ref="A1:BA38"/>
  <sheetViews>
    <sheetView zoomScaleNormal="100" zoomScaleSheetLayoutView="57" workbookViewId="0">
      <pane ySplit="1" topLeftCell="A2" activePane="bottomLeft" state="frozen"/>
      <selection activeCell="X35" sqref="X35"/>
      <selection pane="bottomLeft" activeCell="A2" sqref="A2"/>
    </sheetView>
  </sheetViews>
  <sheetFormatPr defaultColWidth="8.83203125" defaultRowHeight="13"/>
  <cols>
    <col min="1" max="1" width="3.58203125" style="112" customWidth="1"/>
    <col min="2" max="2" width="7.58203125" style="112" customWidth="1"/>
    <col min="3" max="40" width="10.58203125" style="112" customWidth="1"/>
    <col min="41" max="41" width="127.83203125" style="112" customWidth="1"/>
    <col min="42" max="42" width="9" style="112" bestFit="1" customWidth="1"/>
    <col min="43" max="43" width="11.58203125" style="112" bestFit="1" customWidth="1"/>
    <col min="44" max="44" width="8.83203125" style="112"/>
    <col min="45" max="48" width="9" style="112" bestFit="1" customWidth="1"/>
    <col min="49" max="49" width="11.58203125" style="112" bestFit="1" customWidth="1"/>
    <col min="50" max="50" width="8.83203125" style="112"/>
    <col min="51" max="53" width="9" style="112" bestFit="1" customWidth="1"/>
    <col min="54" max="16384" width="8.83203125" style="112"/>
  </cols>
  <sheetData>
    <row r="1" spans="1:53" s="113" customFormat="1" ht="30" customHeight="1">
      <c r="A1" s="163" t="s">
        <v>230</v>
      </c>
      <c r="B1" s="163"/>
      <c r="C1" s="163"/>
      <c r="D1" s="163"/>
      <c r="E1" s="163"/>
      <c r="F1" s="303"/>
      <c r="G1" s="304"/>
      <c r="H1" s="163"/>
      <c r="I1" s="305"/>
      <c r="J1" s="163"/>
      <c r="K1" s="163"/>
      <c r="L1" s="302"/>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row>
    <row r="2" spans="1:53" s="354" customFormat="1" ht="18.75" customHeight="1">
      <c r="A2" s="352"/>
      <c r="B2" s="352"/>
      <c r="C2" s="352"/>
      <c r="D2" s="352"/>
      <c r="E2" s="352"/>
      <c r="F2" s="352"/>
      <c r="G2" s="352"/>
      <c r="H2" s="352"/>
      <c r="I2" s="352"/>
      <c r="J2" s="352"/>
      <c r="K2" s="352"/>
      <c r="L2" s="353"/>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row>
    <row r="3" spans="1:53" s="354" customFormat="1" ht="18.75" customHeight="1">
      <c r="A3" s="352"/>
      <c r="B3" s="352"/>
      <c r="C3" s="1835" t="s">
        <v>197</v>
      </c>
      <c r="D3" s="1836"/>
      <c r="E3" s="117" t="s">
        <v>198</v>
      </c>
      <c r="F3" s="117" t="s">
        <v>199</v>
      </c>
      <c r="G3" s="117" t="s">
        <v>200</v>
      </c>
      <c r="H3" s="117" t="s">
        <v>201</v>
      </c>
      <c r="I3" s="355" t="s">
        <v>202</v>
      </c>
      <c r="J3" s="352"/>
      <c r="K3" s="352"/>
      <c r="L3" s="96" t="s">
        <v>674</v>
      </c>
      <c r="M3" s="437"/>
      <c r="N3" s="437"/>
      <c r="O3" s="437"/>
      <c r="P3" s="437"/>
      <c r="Q3" s="437"/>
      <c r="R3" s="437"/>
      <c r="S3" s="437"/>
      <c r="T3" s="437"/>
      <c r="U3" s="97"/>
      <c r="V3" s="352"/>
      <c r="W3" s="352"/>
      <c r="X3" s="352"/>
      <c r="Y3" s="352"/>
      <c r="Z3" s="352"/>
      <c r="AA3" s="352"/>
      <c r="AB3" s="352"/>
      <c r="AC3" s="352"/>
      <c r="AD3" s="352"/>
      <c r="AE3" s="352"/>
      <c r="AF3" s="352"/>
      <c r="AG3" s="352"/>
      <c r="AH3" s="352"/>
      <c r="AI3" s="352"/>
      <c r="AJ3" s="352"/>
      <c r="AK3" s="352"/>
      <c r="AL3" s="352"/>
      <c r="AM3" s="352"/>
      <c r="AN3" s="352"/>
      <c r="AO3" s="352"/>
    </row>
    <row r="4" spans="1:53" s="354" customFormat="1" ht="18.75" customHeight="1">
      <c r="A4" s="352"/>
      <c r="B4" s="352"/>
      <c r="C4" s="1837" t="s">
        <v>231</v>
      </c>
      <c r="D4" s="1838"/>
      <c r="E4" s="356" t="s">
        <v>374</v>
      </c>
      <c r="F4" s="905">
        <f>V16</f>
        <v>0</v>
      </c>
      <c r="G4" s="905">
        <f>AJ16</f>
        <v>0</v>
      </c>
      <c r="H4" s="906">
        <f>F4-G4</f>
        <v>0</v>
      </c>
      <c r="I4" s="912">
        <f>IF(OR(F4=0,H4=0),0,H4/F4)</f>
        <v>0</v>
      </c>
      <c r="J4" s="352"/>
      <c r="K4" s="352"/>
      <c r="L4" s="431"/>
      <c r="M4" s="432"/>
      <c r="N4" s="432"/>
      <c r="O4" s="432"/>
      <c r="P4" s="432"/>
      <c r="Q4" s="432"/>
      <c r="R4" s="432"/>
      <c r="S4" s="432"/>
      <c r="T4" s="432"/>
      <c r="U4" s="433"/>
      <c r="V4" s="352"/>
      <c r="W4" s="352"/>
      <c r="X4" s="352"/>
      <c r="Y4" s="352"/>
      <c r="Z4" s="352"/>
      <c r="AA4" s="352"/>
      <c r="AB4" s="352"/>
      <c r="AC4" s="352"/>
      <c r="AD4" s="352"/>
      <c r="AE4" s="352"/>
      <c r="AF4" s="352"/>
      <c r="AG4" s="352"/>
      <c r="AH4" s="352"/>
      <c r="AI4" s="352"/>
      <c r="AJ4" s="352"/>
      <c r="AK4" s="352"/>
      <c r="AL4" s="352"/>
      <c r="AM4" s="352"/>
      <c r="AN4" s="352"/>
      <c r="AO4" s="352"/>
    </row>
    <row r="5" spans="1:53" s="354" customFormat="1" ht="18.75" customHeight="1">
      <c r="A5" s="352"/>
      <c r="B5" s="352"/>
      <c r="C5" s="1837" t="s">
        <v>232</v>
      </c>
      <c r="D5" s="1838"/>
      <c r="E5" s="117" t="s">
        <v>208</v>
      </c>
      <c r="F5" s="907" t="str">
        <f>W16</f>
        <v>－</v>
      </c>
      <c r="G5" s="442" t="str">
        <f>AK16</f>
        <v>－</v>
      </c>
      <c r="H5" s="908" t="str">
        <f>IF(OR(F5="－",G5="－"),"－",F5-G5)</f>
        <v>－</v>
      </c>
      <c r="I5" s="912" t="str">
        <f>IF(OR(F5="－",H5="－"),"－",H5/F5)</f>
        <v>－</v>
      </c>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row>
    <row r="6" spans="1:53" s="354" customFormat="1" ht="18.75" customHeight="1">
      <c r="A6" s="352"/>
      <c r="B6" s="352"/>
      <c r="C6" s="1832" t="s">
        <v>627</v>
      </c>
      <c r="D6" s="1833"/>
      <c r="E6" s="117" t="s">
        <v>209</v>
      </c>
      <c r="F6" s="513">
        <f>X16</f>
        <v>0</v>
      </c>
      <c r="G6" s="513">
        <f>AL16</f>
        <v>0</v>
      </c>
      <c r="H6" s="514">
        <f>F6-G6</f>
        <v>0</v>
      </c>
      <c r="I6" s="912">
        <f>IF(OR(F6=0,H6=0),0,H6/F6)</f>
        <v>0</v>
      </c>
      <c r="J6" s="352"/>
      <c r="K6" s="352"/>
      <c r="L6" s="96" t="s">
        <v>701</v>
      </c>
      <c r="M6" s="437"/>
      <c r="N6" s="437"/>
      <c r="O6" s="437"/>
      <c r="P6" s="437"/>
      <c r="Q6" s="437"/>
      <c r="R6" s="437"/>
      <c r="S6" s="437"/>
      <c r="T6" s="437"/>
      <c r="U6" s="97"/>
      <c r="V6" s="352"/>
      <c r="W6" s="352"/>
      <c r="X6" s="352"/>
      <c r="Y6" s="352"/>
      <c r="Z6" s="352"/>
      <c r="AA6" s="352"/>
      <c r="AB6" s="352"/>
      <c r="AC6" s="352"/>
      <c r="AD6" s="352"/>
      <c r="AE6" s="352"/>
      <c r="AF6" s="352"/>
      <c r="AG6" s="352"/>
      <c r="AH6" s="352"/>
      <c r="AI6" s="352"/>
      <c r="AJ6" s="352"/>
      <c r="AK6" s="352"/>
      <c r="AL6" s="352"/>
      <c r="AM6" s="352"/>
      <c r="AN6" s="352"/>
      <c r="AO6" s="352"/>
    </row>
    <row r="7" spans="1:53" s="354" customFormat="1" ht="18.75" customHeight="1">
      <c r="A7" s="352"/>
      <c r="B7" s="352"/>
      <c r="C7" s="33" t="s">
        <v>376</v>
      </c>
      <c r="D7" s="352"/>
      <c r="E7" s="352"/>
      <c r="F7" s="352"/>
      <c r="G7" s="352"/>
      <c r="H7" s="352"/>
      <c r="I7" s="352"/>
      <c r="J7" s="352"/>
      <c r="K7" s="352"/>
      <c r="L7" s="1712" t="s">
        <v>197</v>
      </c>
      <c r="M7" s="1713"/>
      <c r="N7" s="1703" t="s">
        <v>702</v>
      </c>
      <c r="O7" s="1704"/>
      <c r="P7" s="1703" t="s">
        <v>200</v>
      </c>
      <c r="Q7" s="1704"/>
      <c r="R7" s="1823" t="str">
        <f>IF(OR(N9&lt;P9,O9&lt;Q9),"やむを得ず増加する場合は特記事項欄に理由を記載してください。",IF(OR(N9&gt;P9,O9&gt;Q9),"減少する理由を特記事項欄に記載してください。","―"))</f>
        <v>―</v>
      </c>
      <c r="S7" s="1824"/>
      <c r="T7" s="1824"/>
      <c r="U7" s="1825"/>
      <c r="V7" s="352"/>
      <c r="W7" s="352"/>
      <c r="X7" s="352"/>
      <c r="Y7" s="352"/>
      <c r="Z7" s="352"/>
      <c r="AA7" s="352"/>
      <c r="AB7" s="352"/>
      <c r="AC7" s="352"/>
      <c r="AD7" s="352"/>
      <c r="AE7" s="352"/>
      <c r="AF7" s="352"/>
      <c r="AG7" s="352"/>
      <c r="AH7" s="352"/>
      <c r="AI7" s="352"/>
      <c r="AJ7" s="352"/>
      <c r="AK7" s="352"/>
      <c r="AL7" s="352"/>
      <c r="AM7" s="352"/>
      <c r="AN7" s="352"/>
      <c r="AO7" s="352"/>
    </row>
    <row r="8" spans="1:53" s="354" customFormat="1" ht="18.75" customHeight="1">
      <c r="A8" s="352"/>
      <c r="B8" s="352"/>
      <c r="C8" s="33"/>
      <c r="D8" s="352"/>
      <c r="E8" s="352"/>
      <c r="F8" s="352"/>
      <c r="G8" s="352"/>
      <c r="H8" s="352"/>
      <c r="I8" s="352"/>
      <c r="J8" s="352"/>
      <c r="K8" s="352"/>
      <c r="L8" s="1721"/>
      <c r="M8" s="1788"/>
      <c r="N8" s="90" t="s">
        <v>703</v>
      </c>
      <c r="O8" s="90" t="s">
        <v>303</v>
      </c>
      <c r="P8" s="90" t="s">
        <v>703</v>
      </c>
      <c r="Q8" s="90" t="s">
        <v>303</v>
      </c>
      <c r="R8" s="1826"/>
      <c r="S8" s="1827"/>
      <c r="T8" s="1827"/>
      <c r="U8" s="1828"/>
      <c r="V8" s="352"/>
      <c r="W8" s="352"/>
      <c r="X8" s="352"/>
      <c r="Y8" s="352"/>
      <c r="Z8" s="352"/>
      <c r="AA8" s="352"/>
      <c r="AB8" s="352"/>
      <c r="AC8" s="352"/>
      <c r="AD8" s="352"/>
      <c r="AE8" s="352"/>
      <c r="AF8" s="352"/>
      <c r="AG8" s="352"/>
      <c r="AH8" s="352"/>
      <c r="AI8" s="352"/>
      <c r="AJ8" s="352"/>
      <c r="AK8" s="352"/>
      <c r="AL8" s="352"/>
      <c r="AM8" s="352"/>
      <c r="AN8" s="352"/>
      <c r="AO8" s="352"/>
    </row>
    <row r="9" spans="1:53" s="354" customFormat="1" ht="18.75" customHeight="1">
      <c r="A9" s="352"/>
      <c r="B9" s="352"/>
      <c r="C9" s="33"/>
      <c r="D9" s="352"/>
      <c r="E9" s="352"/>
      <c r="F9" s="352"/>
      <c r="G9" s="352"/>
      <c r="H9" s="352"/>
      <c r="I9" s="352"/>
      <c r="J9" s="352"/>
      <c r="K9" s="352"/>
      <c r="L9" s="1821" t="s">
        <v>704</v>
      </c>
      <c r="M9" s="1822"/>
      <c r="N9" s="423" cm="1">
        <f t="array" ref="N9">SUMPRODUCT(($L$17:$L$36=N8)*($L$17:$L$36=N8),$K$17:$K$36*$F$17:$F$36)</f>
        <v>0</v>
      </c>
      <c r="O9" s="423" cm="1">
        <f t="array" ref="O9">SUMPRODUCT(($L$17:$L$36=O8)*($L$17:$L$36=O8),$K$17:$K$36*$F$17:$F$36)</f>
        <v>0</v>
      </c>
      <c r="P9" s="423" cm="1">
        <f t="array" ref="P9">SUMPRODUCT(($AC$17:$AC$36=P8)*($AC$17:$AC$36=P8),$AB$17:$AB$36*$Z$17:$Z$36)</f>
        <v>0</v>
      </c>
      <c r="Q9" s="423" cm="1">
        <f t="array" ref="Q9">SUMPRODUCT(($AC$17:$AC$36=Q8)*($AC$17:$AC$36=Q8),$AB$17:$AB$36*$Z$17:$Z$36)</f>
        <v>0</v>
      </c>
      <c r="R9" s="1829"/>
      <c r="S9" s="1830"/>
      <c r="T9" s="1830"/>
      <c r="U9" s="1831"/>
      <c r="V9" s="352"/>
      <c r="W9" s="352"/>
      <c r="X9" s="352"/>
      <c r="Y9" s="352"/>
      <c r="Z9" s="352"/>
      <c r="AA9" s="352"/>
      <c r="AB9" s="352"/>
      <c r="AC9" s="352"/>
      <c r="AD9" s="352"/>
      <c r="AE9" s="352"/>
      <c r="AF9" s="352"/>
      <c r="AG9" s="352"/>
      <c r="AH9" s="352"/>
      <c r="AI9" s="352"/>
      <c r="AJ9" s="352"/>
      <c r="AK9" s="352"/>
      <c r="AL9" s="352"/>
      <c r="AM9" s="352"/>
      <c r="AN9" s="352"/>
      <c r="AO9" s="352"/>
    </row>
    <row r="10" spans="1:53" s="354" customFormat="1" ht="18.75" customHeight="1">
      <c r="A10" s="352"/>
      <c r="B10" s="352"/>
      <c r="C10" s="33"/>
      <c r="D10" s="352"/>
      <c r="E10" s="352"/>
      <c r="F10" s="352"/>
      <c r="G10" s="352"/>
      <c r="H10" s="352"/>
      <c r="I10" s="352"/>
      <c r="J10" s="352"/>
      <c r="K10" s="352"/>
      <c r="L10" s="33"/>
      <c r="M10" s="352"/>
      <c r="N10" s="549"/>
      <c r="O10" s="549"/>
      <c r="P10" s="549"/>
      <c r="Q10" s="549"/>
      <c r="R10" s="401"/>
      <c r="S10" s="401"/>
      <c r="T10" s="401"/>
      <c r="U10" s="401"/>
      <c r="V10" s="352"/>
      <c r="W10" s="352"/>
      <c r="X10" s="352"/>
      <c r="Y10" s="352"/>
      <c r="Z10" s="352"/>
      <c r="AA10" s="352"/>
      <c r="AB10" s="352"/>
      <c r="AC10" s="352"/>
      <c r="AD10" s="352"/>
      <c r="AE10" s="352"/>
      <c r="AF10" s="352"/>
      <c r="AG10" s="352"/>
      <c r="AH10" s="352"/>
      <c r="AI10" s="352"/>
      <c r="AJ10" s="352"/>
      <c r="AK10" s="352"/>
      <c r="AL10" s="352"/>
      <c r="AM10" s="352"/>
      <c r="AN10" s="352"/>
      <c r="AO10" s="352"/>
    </row>
    <row r="11" spans="1:53" s="354" customFormat="1" ht="18.75" customHeight="1">
      <c r="A11" s="352"/>
      <c r="B11" s="352"/>
      <c r="C11" s="439" t="s">
        <v>43</v>
      </c>
      <c r="D11" s="440" t="s">
        <v>668</v>
      </c>
      <c r="E11" s="441" t="s">
        <v>723</v>
      </c>
      <c r="F11" s="352"/>
      <c r="G11" s="352"/>
      <c r="H11" s="352"/>
      <c r="I11" s="352"/>
      <c r="J11" s="352"/>
      <c r="K11" s="352"/>
      <c r="L11" s="352"/>
      <c r="M11" s="352"/>
      <c r="N11" s="352"/>
      <c r="O11" s="352"/>
      <c r="P11" s="352"/>
      <c r="Q11" s="352"/>
      <c r="R11" s="352"/>
      <c r="S11" s="352"/>
      <c r="T11" s="352"/>
      <c r="U11" s="352"/>
      <c r="V11" s="352"/>
      <c r="W11" s="352"/>
      <c r="X11" s="352"/>
      <c r="Y11" s="352" t="s">
        <v>705</v>
      </c>
      <c r="Z11" s="352"/>
      <c r="AA11" s="352"/>
      <c r="AB11" s="352"/>
      <c r="AC11" s="352"/>
      <c r="AD11" s="352" t="s">
        <v>607</v>
      </c>
      <c r="AE11" s="352"/>
      <c r="AF11" s="352"/>
      <c r="AG11" s="352"/>
      <c r="AH11" s="352" t="s">
        <v>706</v>
      </c>
      <c r="AI11" s="352"/>
      <c r="AJ11" s="352"/>
      <c r="AK11" s="352"/>
      <c r="AL11" s="352"/>
      <c r="AM11" s="352"/>
      <c r="AN11" s="352"/>
      <c r="AO11" s="352"/>
    </row>
    <row r="12" spans="1:53" s="354" customFormat="1" ht="18.75" customHeight="1">
      <c r="A12" s="352"/>
      <c r="B12" s="1834" t="s">
        <v>337</v>
      </c>
      <c r="C12" s="291" t="s">
        <v>199</v>
      </c>
      <c r="D12" s="292"/>
      <c r="E12" s="292"/>
      <c r="F12" s="292"/>
      <c r="G12" s="292"/>
      <c r="H12" s="292"/>
      <c r="I12" s="292"/>
      <c r="J12" s="292"/>
      <c r="K12" s="292"/>
      <c r="L12" s="292"/>
      <c r="M12" s="292"/>
      <c r="N12" s="292"/>
      <c r="O12" s="292"/>
      <c r="P12" s="292"/>
      <c r="Q12" s="292"/>
      <c r="R12" s="292"/>
      <c r="S12" s="292"/>
      <c r="T12" s="292"/>
      <c r="U12" s="292"/>
      <c r="V12" s="292"/>
      <c r="W12" s="292"/>
      <c r="X12" s="293"/>
      <c r="Y12" s="357" t="s">
        <v>200</v>
      </c>
      <c r="Z12" s="358"/>
      <c r="AA12" s="358"/>
      <c r="AB12" s="358"/>
      <c r="AC12" s="358"/>
      <c r="AD12" s="358"/>
      <c r="AE12" s="358"/>
      <c r="AF12" s="358"/>
      <c r="AG12" s="358"/>
      <c r="AH12" s="358"/>
      <c r="AI12" s="358"/>
      <c r="AJ12" s="358"/>
      <c r="AK12" s="358"/>
      <c r="AL12" s="359"/>
      <c r="AM12" s="360" t="s">
        <v>210</v>
      </c>
      <c r="AN12" s="361"/>
      <c r="AO12" s="352"/>
    </row>
    <row r="13" spans="1:53" s="354" customFormat="1" ht="45" customHeight="1">
      <c r="A13" s="352"/>
      <c r="B13" s="1690"/>
      <c r="C13" s="125" t="s">
        <v>233</v>
      </c>
      <c r="D13" s="125" t="s">
        <v>234</v>
      </c>
      <c r="E13" s="125" t="s">
        <v>235</v>
      </c>
      <c r="F13" s="125" t="s">
        <v>236</v>
      </c>
      <c r="G13" s="290" t="s">
        <v>237</v>
      </c>
      <c r="H13" s="290" t="s">
        <v>238</v>
      </c>
      <c r="I13" s="125" t="s">
        <v>239</v>
      </c>
      <c r="J13" s="125" t="s">
        <v>240</v>
      </c>
      <c r="K13" s="125" t="s">
        <v>241</v>
      </c>
      <c r="L13" s="125" t="s">
        <v>242</v>
      </c>
      <c r="M13" s="125" t="s">
        <v>243</v>
      </c>
      <c r="N13" s="125" t="s">
        <v>368</v>
      </c>
      <c r="O13" s="125" t="s">
        <v>238</v>
      </c>
      <c r="P13" s="125" t="s">
        <v>715</v>
      </c>
      <c r="Q13" s="125" t="s">
        <v>367</v>
      </c>
      <c r="R13" s="125" t="s">
        <v>366</v>
      </c>
      <c r="S13" s="125" t="s">
        <v>245</v>
      </c>
      <c r="T13" s="125" t="s">
        <v>246</v>
      </c>
      <c r="U13" s="125" t="s">
        <v>365</v>
      </c>
      <c r="V13" s="125" t="s">
        <v>373</v>
      </c>
      <c r="W13" s="125" t="s">
        <v>232</v>
      </c>
      <c r="X13" s="125" t="s">
        <v>364</v>
      </c>
      <c r="Y13" s="131" t="s">
        <v>233</v>
      </c>
      <c r="Z13" s="131" t="s">
        <v>215</v>
      </c>
      <c r="AA13" s="362" t="s">
        <v>237</v>
      </c>
      <c r="AB13" s="131" t="s">
        <v>241</v>
      </c>
      <c r="AC13" s="131" t="s">
        <v>242</v>
      </c>
      <c r="AD13" s="131" t="s">
        <v>243</v>
      </c>
      <c r="AE13" s="131" t="s">
        <v>247</v>
      </c>
      <c r="AF13" s="131" t="s">
        <v>238</v>
      </c>
      <c r="AG13" s="131" t="s">
        <v>363</v>
      </c>
      <c r="AH13" s="131" t="s">
        <v>245</v>
      </c>
      <c r="AI13" s="131" t="s">
        <v>362</v>
      </c>
      <c r="AJ13" s="131" t="s">
        <v>218</v>
      </c>
      <c r="AK13" s="131" t="s">
        <v>232</v>
      </c>
      <c r="AL13" s="131" t="s">
        <v>364</v>
      </c>
      <c r="AM13" s="120" t="s">
        <v>248</v>
      </c>
      <c r="AN13" s="363" t="s">
        <v>232</v>
      </c>
      <c r="AO13" s="352"/>
    </row>
    <row r="14" spans="1:53" s="354" customFormat="1" ht="18.75" customHeight="1">
      <c r="A14" s="352"/>
      <c r="B14" s="364" t="s">
        <v>198</v>
      </c>
      <c r="C14" s="364"/>
      <c r="D14" s="364"/>
      <c r="E14" s="364"/>
      <c r="F14" s="290" t="s">
        <v>219</v>
      </c>
      <c r="G14" s="364"/>
      <c r="H14" s="364"/>
      <c r="I14" s="364"/>
      <c r="J14" s="364"/>
      <c r="K14" s="364"/>
      <c r="L14" s="364"/>
      <c r="M14" s="290" t="s">
        <v>249</v>
      </c>
      <c r="N14" s="365" t="str">
        <f>"/(台・h)"</f>
        <v>/(台・h)</v>
      </c>
      <c r="O14" s="365"/>
      <c r="P14" s="290" t="s">
        <v>250</v>
      </c>
      <c r="Q14" s="290" t="s">
        <v>251</v>
      </c>
      <c r="R14" s="290" t="s">
        <v>252</v>
      </c>
      <c r="S14" s="290" t="s">
        <v>249</v>
      </c>
      <c r="T14" s="365" t="s">
        <v>253</v>
      </c>
      <c r="U14" s="366" t="str">
        <f>"/年"</f>
        <v>/年</v>
      </c>
      <c r="V14" s="125" t="s">
        <v>374</v>
      </c>
      <c r="W14" s="125" t="s">
        <v>254</v>
      </c>
      <c r="X14" s="290" t="s">
        <v>209</v>
      </c>
      <c r="Y14" s="131"/>
      <c r="Z14" s="362" t="s">
        <v>219</v>
      </c>
      <c r="AA14" s="131"/>
      <c r="AB14" s="367"/>
      <c r="AC14" s="367"/>
      <c r="AD14" s="368" t="s">
        <v>249</v>
      </c>
      <c r="AE14" s="369" t="str">
        <f>"/(台・h)"</f>
        <v>/(台・h)</v>
      </c>
      <c r="AF14" s="369"/>
      <c r="AG14" s="362" t="s">
        <v>252</v>
      </c>
      <c r="AH14" s="362" t="s">
        <v>249</v>
      </c>
      <c r="AI14" s="370" t="str">
        <f>"/年"</f>
        <v>/年</v>
      </c>
      <c r="AJ14" s="131" t="s">
        <v>374</v>
      </c>
      <c r="AK14" s="131" t="s">
        <v>254</v>
      </c>
      <c r="AL14" s="362" t="s">
        <v>209</v>
      </c>
      <c r="AM14" s="120" t="s">
        <v>374</v>
      </c>
      <c r="AN14" s="120" t="s">
        <v>254</v>
      </c>
      <c r="AO14" s="352"/>
      <c r="AP14" s="371" t="s">
        <v>199</v>
      </c>
      <c r="AQ14" s="371"/>
      <c r="AR14" s="371"/>
      <c r="AS14" s="371" t="s">
        <v>232</v>
      </c>
      <c r="AT14" s="371"/>
      <c r="AU14" s="371"/>
      <c r="AV14" s="371" t="s">
        <v>200</v>
      </c>
      <c r="AW14" s="371"/>
      <c r="AX14" s="371"/>
      <c r="AY14" s="371" t="s">
        <v>232</v>
      </c>
      <c r="AZ14" s="371"/>
      <c r="BA14" s="371"/>
    </row>
    <row r="15" spans="1:53" s="354" customFormat="1" ht="18.75" customHeight="1" thickBot="1">
      <c r="A15" s="352"/>
      <c r="B15" s="926" t="s">
        <v>255</v>
      </c>
      <c r="C15" s="929" t="s">
        <v>1194</v>
      </c>
      <c r="D15" s="927" t="s">
        <v>840</v>
      </c>
      <c r="E15" s="926">
        <v>2022</v>
      </c>
      <c r="F15" s="1149">
        <v>2</v>
      </c>
      <c r="G15" s="1146" t="s">
        <v>257</v>
      </c>
      <c r="H15" s="1150" t="str">
        <f>AR15</f>
        <v>kWh</v>
      </c>
      <c r="I15" s="1151">
        <f>IF(D15="給湯器（ヒートポンプ）",IF(E15="",1,MIN(1.5,(2024-E15)*0.05+1)),"－")</f>
        <v>1.1000000000000001</v>
      </c>
      <c r="J15" s="1151" t="str">
        <f>IF(OR(D15="",D15="給湯器（ヒートポンプ）"),"－",0.1)</f>
        <v>－</v>
      </c>
      <c r="K15" s="1152">
        <v>40</v>
      </c>
      <c r="L15" s="927" t="s">
        <v>258</v>
      </c>
      <c r="M15" s="928">
        <f>IFERROR(K15/N15, "")</f>
        <v>4.2417815482502652</v>
      </c>
      <c r="N15" s="1153">
        <v>9.43</v>
      </c>
      <c r="O15" s="1154" t="str">
        <f>AR15</f>
        <v>kWh</v>
      </c>
      <c r="P15" s="1153">
        <v>10</v>
      </c>
      <c r="Q15" s="1149">
        <v>365</v>
      </c>
      <c r="R15" s="1155">
        <f>IFERROR(IF(OR(P15="", Q15=""), "", P15*Q15), "")</f>
        <v>3650</v>
      </c>
      <c r="S15" s="1156">
        <v>0.4</v>
      </c>
      <c r="T15" s="1136">
        <f>IFERROR((IF(M15&gt;0,N15*M15*S15*AT15,0)),"")</f>
        <v>138.24</v>
      </c>
      <c r="U15" s="1157">
        <f>IFERROR(IF(OR(D15="", N15="", R15=""), "", IF(R15=0, 0, IF(D15="給湯器（ヒートポンプ）", N15*F15*R15*S15*I15, N15*F15*R15*S15/(1-J15)))), "")</f>
        <v>30289.160000000003</v>
      </c>
      <c r="V15" s="1157">
        <f>IFERROR(IF(U15*AP15=0, "", U15*AP15), "")</f>
        <v>13024.338800000001</v>
      </c>
      <c r="W15" s="1158" t="str">
        <f>IF($AS15=0,"－",U15*$AS15)</f>
        <v>－</v>
      </c>
      <c r="X15" s="1159">
        <f>IFERROR(IF(OR(U15="", $AT15=""), "", (U15*$AT15)*0.0000258), "")</f>
        <v>6.7518172339200015</v>
      </c>
      <c r="Y15" s="929" t="s">
        <v>1195</v>
      </c>
      <c r="Z15" s="1149">
        <v>2</v>
      </c>
      <c r="AA15" s="1146" t="s">
        <v>257</v>
      </c>
      <c r="AB15" s="1152">
        <v>40</v>
      </c>
      <c r="AC15" s="926" t="s">
        <v>258</v>
      </c>
      <c r="AD15" s="1160">
        <f>40/9.43</f>
        <v>4.2417815482502652</v>
      </c>
      <c r="AE15" s="1157">
        <f>IFERROR(IF(OR(T15="", AZ15="", AD15="", AH15=""), "", IF(AD15&gt;0, T15/AZ15/AD15/AH15, 0)), "")</f>
        <v>9.43</v>
      </c>
      <c r="AF15" s="1154" t="str">
        <f>AX15</f>
        <v>kWh</v>
      </c>
      <c r="AG15" s="1155">
        <f>R15</f>
        <v>3650</v>
      </c>
      <c r="AH15" s="1161">
        <f>IFERROR(IF(OR(S15="", K15="", AB15="", Z15=""), "", S15*(K15*F15)/(AB15*Z15)), "")</f>
        <v>0.4</v>
      </c>
      <c r="AI15" s="1162">
        <f>IFERROR(IF(OR(AE15="", Z15="", AG15="", AH15=""), "", AE15*Z15*AG15*AH15), "")</f>
        <v>27535.600000000002</v>
      </c>
      <c r="AJ15" s="1157">
        <f>IFERROR(IF(OR(AI15="", AV15=""), "", AI15*AV15), "")</f>
        <v>11840.308000000001</v>
      </c>
      <c r="AK15" s="1158" t="str">
        <f>IF($AY15=0,"－",AI15*$AY15)</f>
        <v>－</v>
      </c>
      <c r="AL15" s="1157">
        <f>IFERROR(IF(OR(AI15="", $AZ15=""), "", (AI15*$AZ15)*0.0000258), "")</f>
        <v>6.1380156672000012</v>
      </c>
      <c r="AM15" s="1157">
        <f>IFERROR(IF(OR(V15="", AJ15=""), "", V15-AJ15), "")</f>
        <v>1184.0308000000005</v>
      </c>
      <c r="AN15" s="1163" t="str">
        <f>IF(OR(W15="－",AK15="－"),"－",W15-AK15)</f>
        <v>－</v>
      </c>
      <c r="AO15" s="352"/>
      <c r="AP15" s="371">
        <f>IFERROR(VLOOKUP(G15,'(参考)排出係数'!$B$3:$J$16,5,FALSE),0)</f>
        <v>0.43</v>
      </c>
      <c r="AQ15" s="371" t="str">
        <f>IFERROR(VLOOKUP(G15,'(参考)排出係数'!$B$3:$J$16,6,FALSE),"")</f>
        <v>kg-CO2/kWh</v>
      </c>
      <c r="AR15" s="371" t="str">
        <f>IFERROR(VLOOKUP(G15,'(参考)排出係数'!$B$3:$I$16,4,FALSE),"")</f>
        <v>kWh</v>
      </c>
      <c r="AS15" s="372">
        <f>IFERROR(VLOOKUP(G15,【共通】事業所の光熱費!$C$6:$H$13,6,FALSE),0)</f>
        <v>0</v>
      </c>
      <c r="AT15" s="371">
        <f>IFERROR(VLOOKUP(G15,'(参考)排出係数'!$B$3:$J$16,2,FALSE),0)</f>
        <v>8.64</v>
      </c>
      <c r="AU15" s="371">
        <f>IF(G15="電気",3.6,AT15)</f>
        <v>3.6</v>
      </c>
      <c r="AV15" s="371">
        <f>IFERROR(VLOOKUP(AA15,'(参考)排出係数'!$B$3:$J$16,5,FALSE),0)</f>
        <v>0.43</v>
      </c>
      <c r="AW15" s="371" t="str">
        <f>IFERROR(VLOOKUP(AA15,'(参考)排出係数'!$B$3:$J$16,6,FALSE),"")</f>
        <v>kg-CO2/kWh</v>
      </c>
      <c r="AX15" s="371" t="str">
        <f>IFERROR(VLOOKUP(AA15,'(参考)排出係数'!$B$3:$J$16,4,FALSE),"")</f>
        <v>kWh</v>
      </c>
      <c r="AY15" s="372">
        <f>IFERROR(VLOOKUP(AA15,【共通】事業所の光熱費!$C$6:$H$13,6,FALSE),0)</f>
        <v>0</v>
      </c>
      <c r="AZ15" s="371">
        <f>IFERROR(VLOOKUP(AA15,'(参考)排出係数'!$B$3:$J$16,2,FALSE),0)</f>
        <v>8.64</v>
      </c>
      <c r="BA15" s="371">
        <f>IF(AA15="電気",3.6,AZ15)</f>
        <v>3.6</v>
      </c>
    </row>
    <row r="16" spans="1:53" s="354" customFormat="1" ht="18.75" customHeight="1" thickTop="1" thickBot="1">
      <c r="A16" s="352"/>
      <c r="B16" s="932" t="s">
        <v>224</v>
      </c>
      <c r="C16" s="1108"/>
      <c r="D16" s="1109"/>
      <c r="E16" s="1109"/>
      <c r="F16" s="933">
        <f>SUM(F17:F36)</f>
        <v>0</v>
      </c>
      <c r="G16" s="1108"/>
      <c r="H16" s="1109"/>
      <c r="I16" s="1109"/>
      <c r="J16" s="1109"/>
      <c r="K16" s="1131"/>
      <c r="L16" s="1109"/>
      <c r="M16" s="1109"/>
      <c r="N16" s="1131"/>
      <c r="O16" s="1109"/>
      <c r="P16" s="1131"/>
      <c r="Q16" s="1109"/>
      <c r="R16" s="1109"/>
      <c r="S16" s="1109"/>
      <c r="T16" s="1137">
        <f>SUM(T17:T36)</f>
        <v>0</v>
      </c>
      <c r="U16" s="1137">
        <f>SUM(U17:U36)</f>
        <v>0</v>
      </c>
      <c r="V16" s="934">
        <f>SUM(V17:V36)</f>
        <v>0</v>
      </c>
      <c r="W16" s="1140" t="str">
        <f>IF(SUM(W17:W36)=0,"－",SUM(W17:W36))</f>
        <v>－</v>
      </c>
      <c r="X16" s="933">
        <f>SUM(X17:X36)</f>
        <v>0</v>
      </c>
      <c r="Y16" s="1108"/>
      <c r="Z16" s="933">
        <f>SUM(Z17:Z36)</f>
        <v>0</v>
      </c>
      <c r="AA16" s="1108"/>
      <c r="AB16" s="1131"/>
      <c r="AC16" s="1109"/>
      <c r="AD16" s="1109"/>
      <c r="AE16" s="1131"/>
      <c r="AF16" s="1109"/>
      <c r="AG16" s="1109"/>
      <c r="AH16" s="1109"/>
      <c r="AI16" s="1137">
        <f>SUM(AI17:AI36)</f>
        <v>0</v>
      </c>
      <c r="AJ16" s="934">
        <f>SUM(AJ17:AJ36)</f>
        <v>0</v>
      </c>
      <c r="AK16" s="1140" t="str">
        <f>IF(SUM(AK17:AK36)=0,"－",SUM(AK17:AK36))</f>
        <v>－</v>
      </c>
      <c r="AL16" s="1137">
        <f>SUM(AL17:AL36)</f>
        <v>0</v>
      </c>
      <c r="AM16" s="934">
        <f>SUM(AM17:AM36)</f>
        <v>0</v>
      </c>
      <c r="AN16" s="1143" t="str">
        <f>IF(SUM(AN17:AN36)=0,"－",SUM(AN17:AN36))</f>
        <v>－</v>
      </c>
      <c r="AO16" s="352"/>
      <c r="AP16" s="374" t="s">
        <v>260</v>
      </c>
      <c r="AQ16" s="371"/>
      <c r="AR16" s="371" t="s">
        <v>261</v>
      </c>
      <c r="AS16" s="371" t="s">
        <v>262</v>
      </c>
      <c r="AT16" s="371" t="s">
        <v>263</v>
      </c>
      <c r="AU16" s="371" t="s">
        <v>264</v>
      </c>
      <c r="AV16" s="374" t="s">
        <v>260</v>
      </c>
      <c r="AW16" s="371"/>
      <c r="AX16" s="371" t="s">
        <v>261</v>
      </c>
      <c r="AY16" s="371" t="s">
        <v>262</v>
      </c>
      <c r="AZ16" s="371" t="s">
        <v>263</v>
      </c>
      <c r="BA16" s="371" t="s">
        <v>264</v>
      </c>
    </row>
    <row r="17" spans="1:53" s="354" customFormat="1" ht="18.75" customHeight="1" thickTop="1">
      <c r="A17" s="352"/>
      <c r="B17" s="1037" t="s">
        <v>265</v>
      </c>
      <c r="C17" s="1144"/>
      <c r="D17" s="952"/>
      <c r="E17" s="1164"/>
      <c r="F17" s="948"/>
      <c r="G17" s="1147"/>
      <c r="H17" s="1037" t="str">
        <f>AR17</f>
        <v/>
      </c>
      <c r="I17" s="1165" t="str">
        <f>IF(D17="給湯器（ヒートポンプ）",IF(E17="",1,MIN(1.5,(2024-E17)*0.05+1)),"－")</f>
        <v>－</v>
      </c>
      <c r="J17" s="1165" t="str">
        <f>IF(OR(D17="",D17="給湯器（ヒートポンプ）"),"－",0.1)</f>
        <v>－</v>
      </c>
      <c r="K17" s="1134"/>
      <c r="L17" s="1166"/>
      <c r="M17" s="1038" t="str">
        <f>IFERROR(K17/N17, "")</f>
        <v/>
      </c>
      <c r="N17" s="1134"/>
      <c r="O17" s="1037" t="str">
        <f t="shared" ref="O17:O25" si="0">AR17</f>
        <v/>
      </c>
      <c r="P17" s="1134"/>
      <c r="Q17" s="948"/>
      <c r="R17" s="1167" t="str">
        <f>IFERROR(IF(OR(P17="", Q17=""), "", P17*Q17), "")</f>
        <v/>
      </c>
      <c r="S17" s="1039"/>
      <c r="T17" s="1138" t="str">
        <f>IFERROR((IF(M17&gt;0,N17*M17*S17*AT17,0)),"")</f>
        <v/>
      </c>
      <c r="U17" s="1168" t="str">
        <f>IFERROR(IF(OR(D17="", N17="", R17=""), "", IF(R17=0, 0, IF(D17="給湯器（ヒートポンプ）", N17*F17*R17*S17*I17, N17*F17*R17*S17/(1-J17)))), "")</f>
        <v/>
      </c>
      <c r="V17" s="1168" t="str">
        <f>IFERROR(IF(U17*AP17=0, "", U17*AP17), "")</f>
        <v/>
      </c>
      <c r="W17" s="1141" t="str">
        <f>IF($AS17=0,"－",U17*$AS17)</f>
        <v>－</v>
      </c>
      <c r="X17" s="1169" t="str">
        <f>IFERROR(IF(OR(U17="", $AT17=""), "", (U17*$AT17)*0.0000258), "")</f>
        <v/>
      </c>
      <c r="Y17" s="1144"/>
      <c r="Z17" s="948"/>
      <c r="AA17" s="1144"/>
      <c r="AB17" s="1134"/>
      <c r="AC17" s="1166"/>
      <c r="AD17" s="1039"/>
      <c r="AE17" s="1168" t="str">
        <f>IFERROR(IF(OR(T17="", AZ17="", AD17="", AH17=""), "", IF(AD17&gt;0, T17/AZ17/AD17/AH17, 0)), "")</f>
        <v/>
      </c>
      <c r="AF17" s="1037" t="str">
        <f>AX17</f>
        <v/>
      </c>
      <c r="AG17" s="1040" t="str">
        <f>R17</f>
        <v/>
      </c>
      <c r="AH17" s="1170" t="str">
        <f>IFERROR(IF(OR(S17="", K17="", AB17="", Z17=""), "", S17*(K17*F17)/(AB17*Z17)), "")</f>
        <v/>
      </c>
      <c r="AI17" s="1171" t="str">
        <f>IFERROR(IF(OR(AE17="", Z17="", AG17="", AH17=""), "", AE17*Z17*AG17*AH17), "")</f>
        <v/>
      </c>
      <c r="AJ17" s="1168" t="str">
        <f>IFERROR(IF(OR(AI17="", AV17=""), "", AI17*AV17), "")</f>
        <v/>
      </c>
      <c r="AK17" s="1172" t="str">
        <f>IF($AY17=0,"－",AI17*$AY17)</f>
        <v>－</v>
      </c>
      <c r="AL17" s="1168" t="str">
        <f>IFERROR(IF(OR(AI17="", $AZ17=""), "", (AI17*$AZ17)*0.0000258), "")</f>
        <v/>
      </c>
      <c r="AM17" s="1168" t="str">
        <f>IFERROR(IF(OR(V17="", AJ17=""), "", V17-AJ17), "")</f>
        <v/>
      </c>
      <c r="AN17" s="1173" t="str">
        <f t="shared" ref="AN17:AN25" si="1">IF(OR(W17="－",AK17="－"),"－",W17-AK17)</f>
        <v>－</v>
      </c>
      <c r="AO17" s="352"/>
      <c r="AP17" s="371">
        <f>IFERROR(VLOOKUP(G17,'(参考)排出係数'!$B$3:$J$16,5,FALSE),0)</f>
        <v>0</v>
      </c>
      <c r="AQ17" s="371" t="str">
        <f>IFERROR(VLOOKUP(G17,'(参考)排出係数'!$B$3:$J$16,6,FALSE),"")</f>
        <v/>
      </c>
      <c r="AR17" s="371" t="str">
        <f>IFERROR(VLOOKUP(G17,'(参考)排出係数'!$B$3:$J$16,4,FALSE),"")</f>
        <v/>
      </c>
      <c r="AS17" s="372">
        <f>IFERROR(VLOOKUP(G17,【共通】事業所の光熱費!$C$6:$H$13,6,FALSE),0)</f>
        <v>0</v>
      </c>
      <c r="AT17" s="371">
        <f>IFERROR(VLOOKUP(G17,'(参考)排出係数'!$B$3:$J$16,2,FALSE),0)</f>
        <v>0</v>
      </c>
      <c r="AU17" s="371">
        <f t="shared" ref="AU17:AU24" si="2">IF(G17="電気",3.6,AT17)</f>
        <v>0</v>
      </c>
      <c r="AV17" s="371">
        <f>IFERROR(VLOOKUP(AA17,'(参考)排出係数'!$B$3:$J$16,5,FALSE),0)</f>
        <v>0</v>
      </c>
      <c r="AW17" s="371" t="str">
        <f>IFERROR(VLOOKUP(AA17,'(参考)排出係数'!$B$3:$J$16,6,FALSE),"")</f>
        <v/>
      </c>
      <c r="AX17" s="371" t="str">
        <f>IFERROR(VLOOKUP(AA17,'(参考)排出係数'!$B$3:$J$16,4,FALSE),"")</f>
        <v/>
      </c>
      <c r="AY17" s="372">
        <f>IFERROR(VLOOKUP(AA17,【共通】事業所の光熱費!$C$6:$H$13,6,FALSE),0)</f>
        <v>0</v>
      </c>
      <c r="AZ17" s="371">
        <f>IFERROR(VLOOKUP(AA17,'(参考)排出係数'!$B$3:$J$16,2,FALSE),0)</f>
        <v>0</v>
      </c>
      <c r="BA17" s="371">
        <f t="shared" ref="BA17:BA24" si="3">IF(AA17="電気",3.6,AZ17)</f>
        <v>0</v>
      </c>
    </row>
    <row r="18" spans="1:53" s="354" customFormat="1" ht="18.75" customHeight="1">
      <c r="A18" s="352"/>
      <c r="B18" s="1043" t="s">
        <v>266</v>
      </c>
      <c r="C18" s="1145"/>
      <c r="D18" s="584"/>
      <c r="E18" s="866"/>
      <c r="F18" s="1041"/>
      <c r="G18" s="1148"/>
      <c r="H18" s="1043" t="str">
        <f>AR18</f>
        <v/>
      </c>
      <c r="I18" s="1174" t="str">
        <f>IF(D18="給湯器（ヒートポンプ）",IF(E18="",1,MIN(1.5,(2024-E18)*0.05+1)),"－")</f>
        <v>－</v>
      </c>
      <c r="J18" s="1174" t="str">
        <f t="shared" ref="J18:J36" si="4">IF(OR(D18="",D18="給湯器（ヒートポンプ）"),"－",0.1)</f>
        <v>－</v>
      </c>
      <c r="K18" s="1135"/>
      <c r="L18" s="1175"/>
      <c r="M18" s="1044" t="str">
        <f t="shared" ref="M18:M25" si="5">IFERROR(K18/N18, "")</f>
        <v/>
      </c>
      <c r="N18" s="1135"/>
      <c r="O18" s="1043" t="str">
        <f t="shared" si="0"/>
        <v/>
      </c>
      <c r="P18" s="1135"/>
      <c r="Q18" s="1041"/>
      <c r="R18" s="1176" t="str">
        <f t="shared" ref="R18:R36" si="6">IFERROR(IF(OR(P18="", Q18=""), "", P18*Q18), "")</f>
        <v/>
      </c>
      <c r="S18" s="1045"/>
      <c r="T18" s="1139" t="str">
        <f t="shared" ref="T18:T25" si="7">IFERROR((IF(M18&gt;0,N18*M18*S18*AT18,0)),"")</f>
        <v/>
      </c>
      <c r="U18" s="1177" t="str">
        <f t="shared" ref="U18:U36" si="8">IFERROR(IF(OR(D18="", N18="", R18=""), "", IF(R18=0, 0, IF(D18="給湯器（ヒートポンプ）", N18*F18*R18*S18*I18, N18*F18*R18*S18/(1-J18)))), "")</f>
        <v/>
      </c>
      <c r="V18" s="1177" t="str">
        <f t="shared" ref="V18:V36" si="9">IFERROR(IF(U18*AP18=0, "", U18*AP18), "")</f>
        <v/>
      </c>
      <c r="W18" s="1142" t="str">
        <f t="shared" ref="W18:W25" si="10">IF($AS18=0,"－",U18*$AS18)</f>
        <v>－</v>
      </c>
      <c r="X18" s="1178" t="str">
        <f t="shared" ref="X18:X36" si="11">IFERROR(IF(OR(U18="", $AT18=""), "", (U18*$AT18)*0.0000258), "")</f>
        <v/>
      </c>
      <c r="Y18" s="1145"/>
      <c r="Z18" s="1041"/>
      <c r="AA18" s="1145"/>
      <c r="AB18" s="1135"/>
      <c r="AC18" s="1175"/>
      <c r="AD18" s="1045"/>
      <c r="AE18" s="1177" t="str">
        <f t="shared" ref="AE18:AE36" si="12">IFERROR(IF(OR(T18="", AZ18="", AD18="", AH18=""), "", IF(AD18&gt;0, T18/AZ18/AD18/AH18, 0)), "")</f>
        <v/>
      </c>
      <c r="AF18" s="1043" t="str">
        <f t="shared" ref="AF18:AF25" si="13">AX18</f>
        <v/>
      </c>
      <c r="AG18" s="1046" t="str">
        <f>R18</f>
        <v/>
      </c>
      <c r="AH18" s="1179" t="str">
        <f t="shared" ref="AH18:AH36" si="14">IFERROR(IF(OR(S18="", K18="", AB18="", Z18=""), "", S18*(K18*F18)/(AB18*Z18)), "")</f>
        <v/>
      </c>
      <c r="AI18" s="873" t="str">
        <f t="shared" ref="AI18:AI36" si="15">IFERROR(IF(OR(AE18="", Z18="", AG18="", AH18=""), "", AE18*Z18*AG18*AH18), "")</f>
        <v/>
      </c>
      <c r="AJ18" s="1177" t="str">
        <f t="shared" ref="AJ18:AJ36" si="16">IFERROR(IF(OR(AI18="", AV18=""), "", AI18*AV18), "")</f>
        <v/>
      </c>
      <c r="AK18" s="1180" t="str">
        <f t="shared" ref="AK18:AK25" si="17">IF($AY18=0,"－",AI18*$AY18)</f>
        <v>－</v>
      </c>
      <c r="AL18" s="1177" t="str">
        <f>IFERROR(IF(OR(AI18="", $AZ18=""), "", (AI18*$AZ18)*0.0000258), "")</f>
        <v/>
      </c>
      <c r="AM18" s="1177" t="str">
        <f t="shared" ref="AM18:AM36" si="18">IFERROR(IF(OR(V18="", AJ18=""), "", V18-AJ18), "")</f>
        <v/>
      </c>
      <c r="AN18" s="1181" t="str">
        <f t="shared" si="1"/>
        <v>－</v>
      </c>
      <c r="AO18" s="352"/>
      <c r="AP18" s="371">
        <f>IFERROR(VLOOKUP(G18,'(参考)排出係数'!$B$3:$J$16,5,FALSE),0)</f>
        <v>0</v>
      </c>
      <c r="AQ18" s="371" t="str">
        <f>IFERROR(VLOOKUP(G18,'(参考)排出係数'!$B$3:$J$16,6,FALSE),"")</f>
        <v/>
      </c>
      <c r="AR18" s="371" t="str">
        <f>IFERROR(VLOOKUP(G18,'(参考)排出係数'!$B$3:$J$16,4,FALSE),"")</f>
        <v/>
      </c>
      <c r="AS18" s="372">
        <f>IFERROR(VLOOKUP(G18,【共通】事業所の光熱費!$C$6:$H$13,6,FALSE),0)</f>
        <v>0</v>
      </c>
      <c r="AT18" s="371">
        <f>IFERROR(VLOOKUP(G18,'(参考)排出係数'!$B$3:$J$16,2,FALSE),0)</f>
        <v>0</v>
      </c>
      <c r="AU18" s="371">
        <f t="shared" si="2"/>
        <v>0</v>
      </c>
      <c r="AV18" s="371">
        <f>IFERROR(VLOOKUP(AA18,'(参考)排出係数'!$B$3:$J$16,5,FALSE),0)</f>
        <v>0</v>
      </c>
      <c r="AW18" s="371" t="str">
        <f>IFERROR(VLOOKUP(AA18,'(参考)排出係数'!$B$3:$J$16,6,FALSE),"")</f>
        <v/>
      </c>
      <c r="AX18" s="371" t="str">
        <f>IFERROR(VLOOKUP(AA18,'(参考)排出係数'!$B$3:$J$16,4,FALSE),"")</f>
        <v/>
      </c>
      <c r="AY18" s="372">
        <f>IFERROR(VLOOKUP(AA18,【共通】事業所の光熱費!$C$6:$H$13,6,FALSE),0)</f>
        <v>0</v>
      </c>
      <c r="AZ18" s="371">
        <f>IFERROR(VLOOKUP(AA18,'(参考)排出係数'!$B$3:$J$16,2,FALSE),0)</f>
        <v>0</v>
      </c>
      <c r="BA18" s="371">
        <f t="shared" si="3"/>
        <v>0</v>
      </c>
    </row>
    <row r="19" spans="1:53" s="354" customFormat="1" ht="18.75" customHeight="1">
      <c r="A19" s="352"/>
      <c r="B19" s="1043" t="s">
        <v>267</v>
      </c>
      <c r="C19" s="1145"/>
      <c r="D19" s="584"/>
      <c r="E19" s="866"/>
      <c r="F19" s="1041"/>
      <c r="G19" s="1148"/>
      <c r="H19" s="1043" t="str">
        <f t="shared" ref="H19:H25" si="19">AR19</f>
        <v/>
      </c>
      <c r="I19" s="1174" t="str">
        <f t="shared" ref="I19:I36" si="20">IF(D19="給湯器（ヒートポンプ）",IF(E19="",1,MIN(1.5,(2024-E19)*0.05+1)),"－")</f>
        <v>－</v>
      </c>
      <c r="J19" s="1174" t="str">
        <f t="shared" si="4"/>
        <v>－</v>
      </c>
      <c r="K19" s="1135"/>
      <c r="L19" s="1175"/>
      <c r="M19" s="1044" t="str">
        <f t="shared" si="5"/>
        <v/>
      </c>
      <c r="N19" s="1135"/>
      <c r="O19" s="1043" t="str">
        <f t="shared" si="0"/>
        <v/>
      </c>
      <c r="P19" s="1135"/>
      <c r="Q19" s="1041"/>
      <c r="R19" s="1176" t="str">
        <f t="shared" si="6"/>
        <v/>
      </c>
      <c r="S19" s="1045"/>
      <c r="T19" s="1139" t="str">
        <f t="shared" si="7"/>
        <v/>
      </c>
      <c r="U19" s="1177" t="str">
        <f t="shared" si="8"/>
        <v/>
      </c>
      <c r="V19" s="1177" t="str">
        <f t="shared" si="9"/>
        <v/>
      </c>
      <c r="W19" s="1142" t="str">
        <f t="shared" si="10"/>
        <v>－</v>
      </c>
      <c r="X19" s="1178" t="str">
        <f t="shared" si="11"/>
        <v/>
      </c>
      <c r="Y19" s="1145"/>
      <c r="Z19" s="1041"/>
      <c r="AA19" s="1145"/>
      <c r="AB19" s="1135"/>
      <c r="AC19" s="1175"/>
      <c r="AD19" s="1045"/>
      <c r="AE19" s="1177" t="str">
        <f t="shared" si="12"/>
        <v/>
      </c>
      <c r="AF19" s="1043" t="str">
        <f t="shared" si="13"/>
        <v/>
      </c>
      <c r="AG19" s="1046" t="str">
        <f t="shared" ref="AG19:AG25" si="21">R19</f>
        <v/>
      </c>
      <c r="AH19" s="1179" t="str">
        <f t="shared" si="14"/>
        <v/>
      </c>
      <c r="AI19" s="873" t="str">
        <f t="shared" si="15"/>
        <v/>
      </c>
      <c r="AJ19" s="1177" t="str">
        <f t="shared" si="16"/>
        <v/>
      </c>
      <c r="AK19" s="1180" t="str">
        <f t="shared" si="17"/>
        <v>－</v>
      </c>
      <c r="AL19" s="1177" t="str">
        <f t="shared" ref="AL19:AL36" si="22">IFERROR(IF(OR(AI19="", $AZ19=""), "", (AI19*$AZ19)*0.0000258), "")</f>
        <v/>
      </c>
      <c r="AM19" s="1177" t="str">
        <f t="shared" si="18"/>
        <v/>
      </c>
      <c r="AN19" s="1181" t="str">
        <f t="shared" si="1"/>
        <v>－</v>
      </c>
      <c r="AO19" s="352"/>
      <c r="AP19" s="371">
        <f>IFERROR(VLOOKUP(G19,'(参考)排出係数'!$B$3:$J$16,5,FALSE),0)</f>
        <v>0</v>
      </c>
      <c r="AQ19" s="371" t="str">
        <f>IFERROR(VLOOKUP(G19,'(参考)排出係数'!$B$3:$J$16,6,FALSE),"")</f>
        <v/>
      </c>
      <c r="AR19" s="371" t="str">
        <f>IFERROR(VLOOKUP(G19,'(参考)排出係数'!$B$3:$J$16,4,FALSE),"")</f>
        <v/>
      </c>
      <c r="AS19" s="372">
        <f>IFERROR(VLOOKUP(G19,【共通】事業所の光熱費!$C$6:$H$13,6,FALSE),0)</f>
        <v>0</v>
      </c>
      <c r="AT19" s="371">
        <f>IFERROR(VLOOKUP(G19,'(参考)排出係数'!$B$3:$J$16,2,FALSE),0)</f>
        <v>0</v>
      </c>
      <c r="AU19" s="371">
        <f t="shared" si="2"/>
        <v>0</v>
      </c>
      <c r="AV19" s="371">
        <f>IFERROR(VLOOKUP(AA19,'(参考)排出係数'!$B$3:$J$16,5,FALSE),0)</f>
        <v>0</v>
      </c>
      <c r="AW19" s="371" t="str">
        <f>IFERROR(VLOOKUP(AA19,'(参考)排出係数'!$B$3:$J$16,6,FALSE),"")</f>
        <v/>
      </c>
      <c r="AX19" s="371" t="str">
        <f>IFERROR(VLOOKUP(AA19,'(参考)排出係数'!$B$3:$J$16,4,FALSE),"")</f>
        <v/>
      </c>
      <c r="AY19" s="372">
        <f>IFERROR(VLOOKUP(AA19,【共通】事業所の光熱費!$C$6:$H$13,6,FALSE),0)</f>
        <v>0</v>
      </c>
      <c r="AZ19" s="371">
        <f>IFERROR(VLOOKUP(AA19,'(参考)排出係数'!$B$3:$J$16,2,FALSE),0)</f>
        <v>0</v>
      </c>
      <c r="BA19" s="371">
        <f t="shared" si="3"/>
        <v>0</v>
      </c>
    </row>
    <row r="20" spans="1:53" s="354" customFormat="1" ht="18.75" customHeight="1">
      <c r="A20" s="352"/>
      <c r="B20" s="1043" t="s">
        <v>268</v>
      </c>
      <c r="C20" s="1145"/>
      <c r="D20" s="584"/>
      <c r="E20" s="866"/>
      <c r="F20" s="1041"/>
      <c r="G20" s="1148"/>
      <c r="H20" s="1043" t="str">
        <f t="shared" si="19"/>
        <v/>
      </c>
      <c r="I20" s="1174" t="str">
        <f t="shared" si="20"/>
        <v>－</v>
      </c>
      <c r="J20" s="1174" t="str">
        <f t="shared" si="4"/>
        <v>－</v>
      </c>
      <c r="K20" s="1135"/>
      <c r="L20" s="1175"/>
      <c r="M20" s="1044" t="str">
        <f t="shared" si="5"/>
        <v/>
      </c>
      <c r="N20" s="1135"/>
      <c r="O20" s="1043" t="str">
        <f t="shared" si="0"/>
        <v/>
      </c>
      <c r="P20" s="1135"/>
      <c r="Q20" s="1041"/>
      <c r="R20" s="1176" t="str">
        <f t="shared" si="6"/>
        <v/>
      </c>
      <c r="S20" s="1045"/>
      <c r="T20" s="1139" t="str">
        <f t="shared" si="7"/>
        <v/>
      </c>
      <c r="U20" s="1177" t="str">
        <f t="shared" si="8"/>
        <v/>
      </c>
      <c r="V20" s="1177" t="str">
        <f t="shared" si="9"/>
        <v/>
      </c>
      <c r="W20" s="1142" t="str">
        <f t="shared" si="10"/>
        <v>－</v>
      </c>
      <c r="X20" s="1178" t="str">
        <f t="shared" si="11"/>
        <v/>
      </c>
      <c r="Y20" s="1145"/>
      <c r="Z20" s="1041"/>
      <c r="AA20" s="1145"/>
      <c r="AB20" s="1135"/>
      <c r="AC20" s="1175"/>
      <c r="AD20" s="1045"/>
      <c r="AE20" s="1177" t="str">
        <f t="shared" si="12"/>
        <v/>
      </c>
      <c r="AF20" s="1043" t="str">
        <f t="shared" si="13"/>
        <v/>
      </c>
      <c r="AG20" s="1046" t="str">
        <f t="shared" si="21"/>
        <v/>
      </c>
      <c r="AH20" s="1179" t="str">
        <f t="shared" si="14"/>
        <v/>
      </c>
      <c r="AI20" s="873" t="str">
        <f t="shared" si="15"/>
        <v/>
      </c>
      <c r="AJ20" s="1177" t="str">
        <f t="shared" si="16"/>
        <v/>
      </c>
      <c r="AK20" s="1180" t="str">
        <f t="shared" si="17"/>
        <v>－</v>
      </c>
      <c r="AL20" s="1177" t="str">
        <f t="shared" si="22"/>
        <v/>
      </c>
      <c r="AM20" s="1177" t="str">
        <f t="shared" si="18"/>
        <v/>
      </c>
      <c r="AN20" s="1181" t="str">
        <f t="shared" si="1"/>
        <v>－</v>
      </c>
      <c r="AO20" s="352"/>
      <c r="AP20" s="371">
        <f>IFERROR(VLOOKUP(G20,'(参考)排出係数'!$B$3:$J$16,5,FALSE),0)</f>
        <v>0</v>
      </c>
      <c r="AQ20" s="371" t="str">
        <f>IFERROR(VLOOKUP(G20,'(参考)排出係数'!$B$3:$J$16,6,FALSE),"")</f>
        <v/>
      </c>
      <c r="AR20" s="371" t="str">
        <f>IFERROR(VLOOKUP(G20,'(参考)排出係数'!$B$3:$J$16,4,FALSE),"")</f>
        <v/>
      </c>
      <c r="AS20" s="372">
        <f>IFERROR(VLOOKUP(G20,【共通】事業所の光熱費!$C$6:$H$13,6,FALSE),0)</f>
        <v>0</v>
      </c>
      <c r="AT20" s="371">
        <f>IFERROR(VLOOKUP(G20,'(参考)排出係数'!$B$3:$J$16,2,FALSE),0)</f>
        <v>0</v>
      </c>
      <c r="AU20" s="371">
        <f t="shared" si="2"/>
        <v>0</v>
      </c>
      <c r="AV20" s="371">
        <f>IFERROR(VLOOKUP(AA20,'(参考)排出係数'!$B$3:$J$16,5,FALSE),0)</f>
        <v>0</v>
      </c>
      <c r="AW20" s="371" t="str">
        <f>IFERROR(VLOOKUP(AA20,'(参考)排出係数'!$B$3:$J$16,6,FALSE),"")</f>
        <v/>
      </c>
      <c r="AX20" s="371" t="str">
        <f>IFERROR(VLOOKUP(AA20,'(参考)排出係数'!$B$3:$J$16,4,FALSE),"")</f>
        <v/>
      </c>
      <c r="AY20" s="372">
        <f>IFERROR(VLOOKUP(AA20,【共通】事業所の光熱費!$C$6:$H$13,6,FALSE),0)</f>
        <v>0</v>
      </c>
      <c r="AZ20" s="371">
        <f>IFERROR(VLOOKUP(AA20,'(参考)排出係数'!$B$3:$J$16,2,FALSE),0)</f>
        <v>0</v>
      </c>
      <c r="BA20" s="371">
        <f t="shared" si="3"/>
        <v>0</v>
      </c>
    </row>
    <row r="21" spans="1:53" s="354" customFormat="1" ht="18.75" customHeight="1">
      <c r="A21" s="352"/>
      <c r="B21" s="1043" t="s">
        <v>269</v>
      </c>
      <c r="C21" s="1145"/>
      <c r="D21" s="584"/>
      <c r="E21" s="866"/>
      <c r="F21" s="1041"/>
      <c r="G21" s="1148"/>
      <c r="H21" s="1043" t="str">
        <f t="shared" si="19"/>
        <v/>
      </c>
      <c r="I21" s="1174" t="str">
        <f t="shared" si="20"/>
        <v>－</v>
      </c>
      <c r="J21" s="1174" t="str">
        <f t="shared" si="4"/>
        <v>－</v>
      </c>
      <c r="K21" s="1135"/>
      <c r="L21" s="1175"/>
      <c r="M21" s="1044" t="str">
        <f t="shared" si="5"/>
        <v/>
      </c>
      <c r="N21" s="1135"/>
      <c r="O21" s="1043" t="str">
        <f t="shared" si="0"/>
        <v/>
      </c>
      <c r="P21" s="1135"/>
      <c r="Q21" s="1041"/>
      <c r="R21" s="1176" t="str">
        <f t="shared" si="6"/>
        <v/>
      </c>
      <c r="S21" s="1045"/>
      <c r="T21" s="1139" t="str">
        <f t="shared" si="7"/>
        <v/>
      </c>
      <c r="U21" s="1177" t="str">
        <f t="shared" si="8"/>
        <v/>
      </c>
      <c r="V21" s="1177" t="str">
        <f t="shared" si="9"/>
        <v/>
      </c>
      <c r="W21" s="1142" t="str">
        <f t="shared" si="10"/>
        <v>－</v>
      </c>
      <c r="X21" s="1178" t="str">
        <f t="shared" si="11"/>
        <v/>
      </c>
      <c r="Y21" s="1145"/>
      <c r="Z21" s="1041"/>
      <c r="AA21" s="1145"/>
      <c r="AB21" s="1135"/>
      <c r="AC21" s="1175"/>
      <c r="AD21" s="1045"/>
      <c r="AE21" s="1177" t="str">
        <f t="shared" si="12"/>
        <v/>
      </c>
      <c r="AF21" s="1043" t="str">
        <f t="shared" si="13"/>
        <v/>
      </c>
      <c r="AG21" s="1046" t="str">
        <f t="shared" si="21"/>
        <v/>
      </c>
      <c r="AH21" s="1179" t="str">
        <f t="shared" si="14"/>
        <v/>
      </c>
      <c r="AI21" s="873" t="str">
        <f t="shared" si="15"/>
        <v/>
      </c>
      <c r="AJ21" s="1177" t="str">
        <f t="shared" si="16"/>
        <v/>
      </c>
      <c r="AK21" s="1180" t="str">
        <f t="shared" si="17"/>
        <v>－</v>
      </c>
      <c r="AL21" s="1177" t="str">
        <f t="shared" si="22"/>
        <v/>
      </c>
      <c r="AM21" s="1177" t="str">
        <f t="shared" si="18"/>
        <v/>
      </c>
      <c r="AN21" s="1181" t="str">
        <f t="shared" si="1"/>
        <v>－</v>
      </c>
      <c r="AO21" s="352"/>
      <c r="AP21" s="371">
        <f>IFERROR(VLOOKUP(G21,'(参考)排出係数'!$B$3:$J$16,5,FALSE),0)</f>
        <v>0</v>
      </c>
      <c r="AQ21" s="371" t="str">
        <f>IFERROR(VLOOKUP(G21,'(参考)排出係数'!$B$3:$J$16,6,FALSE),"")</f>
        <v/>
      </c>
      <c r="AR21" s="371" t="str">
        <f>IFERROR(VLOOKUP(G21,'(参考)排出係数'!$B$3:$J$16,4,FALSE),"")</f>
        <v/>
      </c>
      <c r="AS21" s="372">
        <f>IFERROR(VLOOKUP(G21,【共通】事業所の光熱費!$C$6:$H$13,6,FALSE),0)</f>
        <v>0</v>
      </c>
      <c r="AT21" s="371">
        <f>IFERROR(VLOOKUP(G21,'(参考)排出係数'!$B$3:$J$16,2,FALSE),0)</f>
        <v>0</v>
      </c>
      <c r="AU21" s="371">
        <f t="shared" si="2"/>
        <v>0</v>
      </c>
      <c r="AV21" s="371">
        <f>IFERROR(VLOOKUP(AA21,'(参考)排出係数'!$B$3:$J$16,5,FALSE),0)</f>
        <v>0</v>
      </c>
      <c r="AW21" s="371" t="str">
        <f>IFERROR(VLOOKUP(AA21,'(参考)排出係数'!$B$3:$J$16,6,FALSE),"")</f>
        <v/>
      </c>
      <c r="AX21" s="371" t="str">
        <f>IFERROR(VLOOKUP(AA21,'(参考)排出係数'!$B$3:$J$16,4,FALSE),"")</f>
        <v/>
      </c>
      <c r="AY21" s="372">
        <f>IFERROR(VLOOKUP(AA21,【共通】事業所の光熱費!$C$6:$H$13,6,FALSE),0)</f>
        <v>0</v>
      </c>
      <c r="AZ21" s="371">
        <f>IFERROR(VLOOKUP(AA21,'(参考)排出係数'!$B$3:$J$16,2,FALSE),0)</f>
        <v>0</v>
      </c>
      <c r="BA21" s="371">
        <f t="shared" si="3"/>
        <v>0</v>
      </c>
    </row>
    <row r="22" spans="1:53" s="354" customFormat="1" ht="18.75" customHeight="1">
      <c r="A22" s="352"/>
      <c r="B22" s="1043" t="s">
        <v>270</v>
      </c>
      <c r="C22" s="1145"/>
      <c r="D22" s="584"/>
      <c r="E22" s="866"/>
      <c r="F22" s="1041"/>
      <c r="G22" s="1148"/>
      <c r="H22" s="1043" t="str">
        <f t="shared" si="19"/>
        <v/>
      </c>
      <c r="I22" s="1174" t="str">
        <f t="shared" si="20"/>
        <v>－</v>
      </c>
      <c r="J22" s="1174" t="str">
        <f t="shared" si="4"/>
        <v>－</v>
      </c>
      <c r="K22" s="1135"/>
      <c r="L22" s="1175"/>
      <c r="M22" s="1044" t="str">
        <f t="shared" si="5"/>
        <v/>
      </c>
      <c r="N22" s="1135"/>
      <c r="O22" s="1043" t="str">
        <f t="shared" si="0"/>
        <v/>
      </c>
      <c r="P22" s="1135"/>
      <c r="Q22" s="1041"/>
      <c r="R22" s="1176" t="str">
        <f t="shared" si="6"/>
        <v/>
      </c>
      <c r="S22" s="1045"/>
      <c r="T22" s="1139" t="str">
        <f t="shared" si="7"/>
        <v/>
      </c>
      <c r="U22" s="1177" t="str">
        <f t="shared" si="8"/>
        <v/>
      </c>
      <c r="V22" s="1177" t="str">
        <f t="shared" si="9"/>
        <v/>
      </c>
      <c r="W22" s="1142" t="str">
        <f t="shared" si="10"/>
        <v>－</v>
      </c>
      <c r="X22" s="1178" t="str">
        <f t="shared" si="11"/>
        <v/>
      </c>
      <c r="Y22" s="1145"/>
      <c r="Z22" s="1041"/>
      <c r="AA22" s="1145"/>
      <c r="AB22" s="1135"/>
      <c r="AC22" s="1175"/>
      <c r="AD22" s="1045"/>
      <c r="AE22" s="1177" t="str">
        <f t="shared" si="12"/>
        <v/>
      </c>
      <c r="AF22" s="1043" t="str">
        <f t="shared" si="13"/>
        <v/>
      </c>
      <c r="AG22" s="1046" t="str">
        <f t="shared" si="21"/>
        <v/>
      </c>
      <c r="AH22" s="1179" t="str">
        <f t="shared" si="14"/>
        <v/>
      </c>
      <c r="AI22" s="873" t="str">
        <f t="shared" si="15"/>
        <v/>
      </c>
      <c r="AJ22" s="1177" t="str">
        <f t="shared" si="16"/>
        <v/>
      </c>
      <c r="AK22" s="1180" t="str">
        <f t="shared" si="17"/>
        <v>－</v>
      </c>
      <c r="AL22" s="1177" t="str">
        <f t="shared" si="22"/>
        <v/>
      </c>
      <c r="AM22" s="1177" t="str">
        <f t="shared" si="18"/>
        <v/>
      </c>
      <c r="AN22" s="1181" t="str">
        <f t="shared" si="1"/>
        <v>－</v>
      </c>
      <c r="AO22" s="352"/>
      <c r="AP22" s="371">
        <f>IFERROR(VLOOKUP(G22,'(参考)排出係数'!$B$3:$J$16,5,FALSE),0)</f>
        <v>0</v>
      </c>
      <c r="AQ22" s="371" t="str">
        <f>IFERROR(VLOOKUP(G22,'(参考)排出係数'!$B$3:$J$16,6,FALSE),"")</f>
        <v/>
      </c>
      <c r="AR22" s="371" t="str">
        <f>IFERROR(VLOOKUP(G22,'(参考)排出係数'!$B$3:$J$16,4,FALSE),"")</f>
        <v/>
      </c>
      <c r="AS22" s="372">
        <f>IFERROR(VLOOKUP(G22,【共通】事業所の光熱費!$C$6:$H$13,6,FALSE),0)</f>
        <v>0</v>
      </c>
      <c r="AT22" s="371">
        <f>IFERROR(VLOOKUP(G22,'(参考)排出係数'!$B$3:$J$16,2,FALSE),0)</f>
        <v>0</v>
      </c>
      <c r="AU22" s="371">
        <f t="shared" si="2"/>
        <v>0</v>
      </c>
      <c r="AV22" s="371">
        <f>IFERROR(VLOOKUP(AA22,'(参考)排出係数'!$B$3:$J$16,5,FALSE),0)</f>
        <v>0</v>
      </c>
      <c r="AW22" s="371" t="str">
        <f>IFERROR(VLOOKUP(AA22,'(参考)排出係数'!$B$3:$J$16,6,FALSE),"")</f>
        <v/>
      </c>
      <c r="AX22" s="371" t="str">
        <f>IFERROR(VLOOKUP(AA22,'(参考)排出係数'!$B$3:$J$16,4,FALSE),"")</f>
        <v/>
      </c>
      <c r="AY22" s="372">
        <f>IFERROR(VLOOKUP(AA22,【共通】事業所の光熱費!$C$6:$H$13,6,FALSE),0)</f>
        <v>0</v>
      </c>
      <c r="AZ22" s="371">
        <f>IFERROR(VLOOKUP(AA22,'(参考)排出係数'!$B$3:$J$16,2,FALSE),0)</f>
        <v>0</v>
      </c>
      <c r="BA22" s="371">
        <f t="shared" si="3"/>
        <v>0</v>
      </c>
    </row>
    <row r="23" spans="1:53" s="354" customFormat="1" ht="18.75" customHeight="1">
      <c r="A23" s="352"/>
      <c r="B23" s="1043" t="s">
        <v>271</v>
      </c>
      <c r="C23" s="1145"/>
      <c r="D23" s="584"/>
      <c r="E23" s="866"/>
      <c r="F23" s="1041"/>
      <c r="G23" s="1148"/>
      <c r="H23" s="1043" t="str">
        <f t="shared" si="19"/>
        <v/>
      </c>
      <c r="I23" s="1174" t="str">
        <f t="shared" si="20"/>
        <v>－</v>
      </c>
      <c r="J23" s="1174" t="str">
        <f t="shared" si="4"/>
        <v>－</v>
      </c>
      <c r="K23" s="1135"/>
      <c r="L23" s="1175"/>
      <c r="M23" s="1044" t="str">
        <f t="shared" si="5"/>
        <v/>
      </c>
      <c r="N23" s="1135"/>
      <c r="O23" s="1043" t="str">
        <f>AR23</f>
        <v/>
      </c>
      <c r="P23" s="1135"/>
      <c r="Q23" s="1041"/>
      <c r="R23" s="1176" t="str">
        <f t="shared" si="6"/>
        <v/>
      </c>
      <c r="S23" s="1045"/>
      <c r="T23" s="1139" t="str">
        <f t="shared" si="7"/>
        <v/>
      </c>
      <c r="U23" s="1177" t="str">
        <f t="shared" si="8"/>
        <v/>
      </c>
      <c r="V23" s="1177" t="str">
        <f t="shared" si="9"/>
        <v/>
      </c>
      <c r="W23" s="1142" t="str">
        <f t="shared" si="10"/>
        <v>－</v>
      </c>
      <c r="X23" s="1178" t="str">
        <f t="shared" si="11"/>
        <v/>
      </c>
      <c r="Y23" s="1145"/>
      <c r="Z23" s="1041"/>
      <c r="AA23" s="1145"/>
      <c r="AB23" s="1135"/>
      <c r="AC23" s="1175"/>
      <c r="AD23" s="1045"/>
      <c r="AE23" s="1177" t="str">
        <f t="shared" si="12"/>
        <v/>
      </c>
      <c r="AF23" s="1043" t="str">
        <f t="shared" si="13"/>
        <v/>
      </c>
      <c r="AG23" s="1046" t="str">
        <f t="shared" si="21"/>
        <v/>
      </c>
      <c r="AH23" s="1179" t="str">
        <f t="shared" si="14"/>
        <v/>
      </c>
      <c r="AI23" s="873" t="str">
        <f t="shared" si="15"/>
        <v/>
      </c>
      <c r="AJ23" s="1177" t="str">
        <f t="shared" si="16"/>
        <v/>
      </c>
      <c r="AK23" s="1180" t="str">
        <f t="shared" si="17"/>
        <v>－</v>
      </c>
      <c r="AL23" s="1177" t="str">
        <f t="shared" si="22"/>
        <v/>
      </c>
      <c r="AM23" s="1177" t="str">
        <f t="shared" si="18"/>
        <v/>
      </c>
      <c r="AN23" s="1181" t="str">
        <f t="shared" si="1"/>
        <v>－</v>
      </c>
      <c r="AO23" s="352"/>
      <c r="AP23" s="371">
        <f>IFERROR(VLOOKUP(G23,'(参考)排出係数'!$B$3:$J$16,5,FALSE),0)</f>
        <v>0</v>
      </c>
      <c r="AQ23" s="371" t="str">
        <f>IFERROR(VLOOKUP(G23,'(参考)排出係数'!$B$3:$J$16,6,FALSE),"")</f>
        <v/>
      </c>
      <c r="AR23" s="371" t="str">
        <f>IFERROR(VLOOKUP(G23,'(参考)排出係数'!$B$3:$J$16,4,FALSE),"")</f>
        <v/>
      </c>
      <c r="AS23" s="372">
        <f>IFERROR(VLOOKUP(G23,【共通】事業所の光熱費!$C$6:$H$13,6,FALSE),0)</f>
        <v>0</v>
      </c>
      <c r="AT23" s="371">
        <f>IFERROR(VLOOKUP(G23,'(参考)排出係数'!$B$3:$J$16,2,FALSE),0)</f>
        <v>0</v>
      </c>
      <c r="AU23" s="371">
        <f t="shared" si="2"/>
        <v>0</v>
      </c>
      <c r="AV23" s="371">
        <f>IFERROR(VLOOKUP(AA23,'(参考)排出係数'!$B$3:$J$16,5,FALSE),0)</f>
        <v>0</v>
      </c>
      <c r="AW23" s="371" t="str">
        <f>IFERROR(VLOOKUP(AA23,'(参考)排出係数'!$B$3:$J$16,6,FALSE),"")</f>
        <v/>
      </c>
      <c r="AX23" s="371" t="str">
        <f>IFERROR(VLOOKUP(AA23,'(参考)排出係数'!$B$3:$J$16,4,FALSE),"")</f>
        <v/>
      </c>
      <c r="AY23" s="372">
        <f>IFERROR(VLOOKUP(AA23,【共通】事業所の光熱費!$C$6:$H$13,6,FALSE),0)</f>
        <v>0</v>
      </c>
      <c r="AZ23" s="371">
        <f>IFERROR(VLOOKUP(AA23,'(参考)排出係数'!$B$3:$J$16,2,FALSE),0)</f>
        <v>0</v>
      </c>
      <c r="BA23" s="371">
        <f t="shared" si="3"/>
        <v>0</v>
      </c>
    </row>
    <row r="24" spans="1:53" s="354" customFormat="1" ht="18.75" customHeight="1">
      <c r="A24" s="352"/>
      <c r="B24" s="1043" t="s">
        <v>272</v>
      </c>
      <c r="C24" s="1145"/>
      <c r="D24" s="584"/>
      <c r="E24" s="866"/>
      <c r="F24" s="1041"/>
      <c r="G24" s="1148"/>
      <c r="H24" s="1043" t="str">
        <f t="shared" si="19"/>
        <v/>
      </c>
      <c r="I24" s="1174" t="str">
        <f t="shared" si="20"/>
        <v>－</v>
      </c>
      <c r="J24" s="1174" t="str">
        <f t="shared" si="4"/>
        <v>－</v>
      </c>
      <c r="K24" s="1135"/>
      <c r="L24" s="1175"/>
      <c r="M24" s="1044" t="str">
        <f t="shared" si="5"/>
        <v/>
      </c>
      <c r="N24" s="1135"/>
      <c r="O24" s="1043" t="str">
        <f t="shared" si="0"/>
        <v/>
      </c>
      <c r="P24" s="1135"/>
      <c r="Q24" s="1041"/>
      <c r="R24" s="1176" t="str">
        <f t="shared" si="6"/>
        <v/>
      </c>
      <c r="S24" s="1045"/>
      <c r="T24" s="1139" t="str">
        <f t="shared" si="7"/>
        <v/>
      </c>
      <c r="U24" s="1177" t="str">
        <f t="shared" si="8"/>
        <v/>
      </c>
      <c r="V24" s="1177" t="str">
        <f t="shared" si="9"/>
        <v/>
      </c>
      <c r="W24" s="1142" t="str">
        <f t="shared" si="10"/>
        <v>－</v>
      </c>
      <c r="X24" s="1178" t="str">
        <f t="shared" si="11"/>
        <v/>
      </c>
      <c r="Y24" s="1145"/>
      <c r="Z24" s="1041"/>
      <c r="AA24" s="1145"/>
      <c r="AB24" s="1135"/>
      <c r="AC24" s="1175"/>
      <c r="AD24" s="1045"/>
      <c r="AE24" s="1177" t="str">
        <f t="shared" si="12"/>
        <v/>
      </c>
      <c r="AF24" s="1043" t="str">
        <f t="shared" si="13"/>
        <v/>
      </c>
      <c r="AG24" s="1046" t="str">
        <f t="shared" si="21"/>
        <v/>
      </c>
      <c r="AH24" s="1179" t="str">
        <f t="shared" si="14"/>
        <v/>
      </c>
      <c r="AI24" s="873" t="str">
        <f t="shared" si="15"/>
        <v/>
      </c>
      <c r="AJ24" s="1177" t="str">
        <f t="shared" si="16"/>
        <v/>
      </c>
      <c r="AK24" s="1180" t="str">
        <f t="shared" si="17"/>
        <v>－</v>
      </c>
      <c r="AL24" s="1177" t="str">
        <f t="shared" si="22"/>
        <v/>
      </c>
      <c r="AM24" s="1177" t="str">
        <f t="shared" si="18"/>
        <v/>
      </c>
      <c r="AN24" s="1181" t="str">
        <f t="shared" si="1"/>
        <v>－</v>
      </c>
      <c r="AO24" s="352"/>
      <c r="AP24" s="371">
        <f>IFERROR(VLOOKUP(G24,'(参考)排出係数'!$B$3:$J$16,5,FALSE),0)</f>
        <v>0</v>
      </c>
      <c r="AQ24" s="371" t="str">
        <f>IFERROR(VLOOKUP(G24,'(参考)排出係数'!$B$3:$J$16,6,FALSE),"")</f>
        <v/>
      </c>
      <c r="AR24" s="371" t="str">
        <f>IFERROR(VLOOKUP(G24,'(参考)排出係数'!$B$3:$J$16,4,FALSE),"")</f>
        <v/>
      </c>
      <c r="AS24" s="372">
        <f>IFERROR(VLOOKUP(G24,【共通】事業所の光熱費!$C$6:$H$13,6,FALSE),0)</f>
        <v>0</v>
      </c>
      <c r="AT24" s="371">
        <f>IFERROR(VLOOKUP(G24,'(参考)排出係数'!$B$3:$J$16,2,FALSE),0)</f>
        <v>0</v>
      </c>
      <c r="AU24" s="371">
        <f t="shared" si="2"/>
        <v>0</v>
      </c>
      <c r="AV24" s="371">
        <f>IFERROR(VLOOKUP(AA24,'(参考)排出係数'!$B$3:$J$16,5,FALSE),0)</f>
        <v>0</v>
      </c>
      <c r="AW24" s="371" t="str">
        <f>IFERROR(VLOOKUP(AA24,'(参考)排出係数'!$B$3:$J$16,6,FALSE),"")</f>
        <v/>
      </c>
      <c r="AX24" s="371" t="str">
        <f>IFERROR(VLOOKUP(AA24,'(参考)排出係数'!$B$3:$J$16,4,FALSE),"")</f>
        <v/>
      </c>
      <c r="AY24" s="372">
        <f>IFERROR(VLOOKUP(AA24,【共通】事業所の光熱費!$C$6:$H$13,6,FALSE),0)</f>
        <v>0</v>
      </c>
      <c r="AZ24" s="371">
        <f>IFERROR(VLOOKUP(AA24,'(参考)排出係数'!$B$3:$J$16,2,FALSE),0)</f>
        <v>0</v>
      </c>
      <c r="BA24" s="371">
        <f t="shared" si="3"/>
        <v>0</v>
      </c>
    </row>
    <row r="25" spans="1:53" s="354" customFormat="1" ht="18.75" customHeight="1">
      <c r="A25" s="352"/>
      <c r="B25" s="1043" t="s">
        <v>273</v>
      </c>
      <c r="C25" s="1145"/>
      <c r="D25" s="584"/>
      <c r="E25" s="866"/>
      <c r="F25" s="1041"/>
      <c r="G25" s="1148"/>
      <c r="H25" s="1043" t="str">
        <f t="shared" si="19"/>
        <v/>
      </c>
      <c r="I25" s="1174" t="str">
        <f t="shared" si="20"/>
        <v>－</v>
      </c>
      <c r="J25" s="1174" t="str">
        <f t="shared" si="4"/>
        <v>－</v>
      </c>
      <c r="K25" s="1135"/>
      <c r="L25" s="1175"/>
      <c r="M25" s="1044" t="str">
        <f t="shared" si="5"/>
        <v/>
      </c>
      <c r="N25" s="1135"/>
      <c r="O25" s="1043" t="str">
        <f t="shared" si="0"/>
        <v/>
      </c>
      <c r="P25" s="1135"/>
      <c r="Q25" s="1041"/>
      <c r="R25" s="1176" t="str">
        <f t="shared" si="6"/>
        <v/>
      </c>
      <c r="S25" s="1045"/>
      <c r="T25" s="1139" t="str">
        <f t="shared" si="7"/>
        <v/>
      </c>
      <c r="U25" s="1177" t="str">
        <f t="shared" si="8"/>
        <v/>
      </c>
      <c r="V25" s="1177" t="str">
        <f t="shared" si="9"/>
        <v/>
      </c>
      <c r="W25" s="1142" t="str">
        <f t="shared" si="10"/>
        <v>－</v>
      </c>
      <c r="X25" s="1178" t="str">
        <f t="shared" si="11"/>
        <v/>
      </c>
      <c r="Y25" s="1145"/>
      <c r="Z25" s="1041"/>
      <c r="AA25" s="1145"/>
      <c r="AB25" s="1135"/>
      <c r="AC25" s="1175"/>
      <c r="AD25" s="1045"/>
      <c r="AE25" s="1177" t="str">
        <f t="shared" si="12"/>
        <v/>
      </c>
      <c r="AF25" s="1043" t="str">
        <f t="shared" si="13"/>
        <v/>
      </c>
      <c r="AG25" s="1046" t="str">
        <f t="shared" si="21"/>
        <v/>
      </c>
      <c r="AH25" s="1179" t="str">
        <f t="shared" si="14"/>
        <v/>
      </c>
      <c r="AI25" s="873" t="str">
        <f t="shared" si="15"/>
        <v/>
      </c>
      <c r="AJ25" s="1177" t="str">
        <f t="shared" si="16"/>
        <v/>
      </c>
      <c r="AK25" s="1180" t="str">
        <f t="shared" si="17"/>
        <v>－</v>
      </c>
      <c r="AL25" s="1177" t="str">
        <f t="shared" si="22"/>
        <v/>
      </c>
      <c r="AM25" s="1177" t="str">
        <f t="shared" si="18"/>
        <v/>
      </c>
      <c r="AN25" s="1181" t="str">
        <f t="shared" si="1"/>
        <v>－</v>
      </c>
      <c r="AO25" s="352"/>
      <c r="AP25" s="371">
        <f>IFERROR(VLOOKUP(G25,'(参考)排出係数'!$B$3:$J$16,5,FALSE),0)</f>
        <v>0</v>
      </c>
      <c r="AQ25" s="371" t="str">
        <f>IFERROR(VLOOKUP(G25,'(参考)排出係数'!$B$3:$J$16,6,FALSE),"")</f>
        <v/>
      </c>
      <c r="AR25" s="371" t="str">
        <f>IFERROR(VLOOKUP(G25,'(参考)排出係数'!$B$3:$J$16,4,FALSE),"")</f>
        <v/>
      </c>
      <c r="AS25" s="372">
        <f>IFERROR(VLOOKUP(G25,【共通】事業所の光熱費!$C$6:$H$13,6,FALSE),0)</f>
        <v>0</v>
      </c>
      <c r="AT25" s="371">
        <f>IFERROR(VLOOKUP(G25,'(参考)排出係数'!$B$3:$J$16,2,FALSE),0)</f>
        <v>0</v>
      </c>
      <c r="AU25" s="371">
        <f t="shared" ref="AU25:AU36" si="23">IF(G25="電気",3.6,AT25)</f>
        <v>0</v>
      </c>
      <c r="AV25" s="371">
        <f>IFERROR(VLOOKUP(AA25,'(参考)排出係数'!$B$3:$J$16,5,FALSE),0)</f>
        <v>0</v>
      </c>
      <c r="AW25" s="371" t="str">
        <f>IFERROR(VLOOKUP(AA25,'(参考)排出係数'!$B$3:$J$16,6,FALSE),"")</f>
        <v/>
      </c>
      <c r="AX25" s="371" t="str">
        <f>IFERROR(VLOOKUP(AA25,'(参考)排出係数'!$B$3:$J$16,4,FALSE),"")</f>
        <v/>
      </c>
      <c r="AY25" s="372">
        <f>IFERROR(VLOOKUP(AA25,【共通】事業所の光熱費!$C$6:$H$13,6,FALSE),0)</f>
        <v>0</v>
      </c>
      <c r="AZ25" s="371">
        <f>IFERROR(VLOOKUP(AA25,'(参考)排出係数'!$B$3:$J$16,2,FALSE),0)</f>
        <v>0</v>
      </c>
      <c r="BA25" s="371">
        <f t="shared" ref="BA25:BA36" si="24">IF(AA25="電気",3.6,AZ25)</f>
        <v>0</v>
      </c>
    </row>
    <row r="26" spans="1:53" s="354" customFormat="1" ht="18.75" customHeight="1">
      <c r="A26" s="352"/>
      <c r="B26" s="1043" t="s">
        <v>274</v>
      </c>
      <c r="C26" s="1145"/>
      <c r="D26" s="584"/>
      <c r="E26" s="866"/>
      <c r="F26" s="1041"/>
      <c r="G26" s="1148"/>
      <c r="H26" s="1043" t="str">
        <f t="shared" ref="H26:H36" si="25">AR26</f>
        <v/>
      </c>
      <c r="I26" s="1174" t="str">
        <f t="shared" si="20"/>
        <v>－</v>
      </c>
      <c r="J26" s="1174" t="str">
        <f t="shared" si="4"/>
        <v>－</v>
      </c>
      <c r="K26" s="1135"/>
      <c r="L26" s="1175"/>
      <c r="M26" s="1044" t="str">
        <f t="shared" ref="M26:M36" si="26">IFERROR(K26/N26, "")</f>
        <v/>
      </c>
      <c r="N26" s="1135"/>
      <c r="O26" s="1043" t="str">
        <f t="shared" ref="O26:O36" si="27">AR26</f>
        <v/>
      </c>
      <c r="P26" s="1135"/>
      <c r="Q26" s="1041"/>
      <c r="R26" s="1176" t="str">
        <f t="shared" si="6"/>
        <v/>
      </c>
      <c r="S26" s="1045"/>
      <c r="T26" s="1139" t="str">
        <f t="shared" ref="T26:T36" si="28">IFERROR((IF(M26&gt;0,N26*M26*S26*AT26,0)),"")</f>
        <v/>
      </c>
      <c r="U26" s="1177" t="str">
        <f t="shared" si="8"/>
        <v/>
      </c>
      <c r="V26" s="1177" t="str">
        <f t="shared" si="9"/>
        <v/>
      </c>
      <c r="W26" s="1142" t="str">
        <f t="shared" ref="W26:W36" si="29">IF($AS26=0,"－",U26*$AS26)</f>
        <v>－</v>
      </c>
      <c r="X26" s="1178" t="str">
        <f t="shared" si="11"/>
        <v/>
      </c>
      <c r="Y26" s="1145"/>
      <c r="Z26" s="1041"/>
      <c r="AA26" s="1145"/>
      <c r="AB26" s="1135"/>
      <c r="AC26" s="1175"/>
      <c r="AD26" s="1045"/>
      <c r="AE26" s="1177" t="str">
        <f t="shared" si="12"/>
        <v/>
      </c>
      <c r="AF26" s="1043" t="str">
        <f t="shared" ref="AF26:AF36" si="30">AX26</f>
        <v/>
      </c>
      <c r="AG26" s="1046" t="str">
        <f t="shared" ref="AG26:AG36" si="31">R26</f>
        <v/>
      </c>
      <c r="AH26" s="1179" t="str">
        <f t="shared" si="14"/>
        <v/>
      </c>
      <c r="AI26" s="873" t="str">
        <f t="shared" si="15"/>
        <v/>
      </c>
      <c r="AJ26" s="1177" t="str">
        <f t="shared" si="16"/>
        <v/>
      </c>
      <c r="AK26" s="1180" t="str">
        <f t="shared" ref="AK26:AK36" si="32">IF($AY26=0,"－",AI26*$AY26)</f>
        <v>－</v>
      </c>
      <c r="AL26" s="1177" t="str">
        <f t="shared" si="22"/>
        <v/>
      </c>
      <c r="AM26" s="1177" t="str">
        <f t="shared" si="18"/>
        <v/>
      </c>
      <c r="AN26" s="1181" t="str">
        <f t="shared" ref="AN26:AN36" si="33">IF(OR(W26="－",AK26="－"),"－",W26-AK26)</f>
        <v>－</v>
      </c>
      <c r="AO26" s="352"/>
      <c r="AP26" s="371">
        <f>IFERROR(VLOOKUP(G26,'(参考)排出係数'!$B$3:$J$16,5,FALSE),0)</f>
        <v>0</v>
      </c>
      <c r="AQ26" s="371" t="str">
        <f>IFERROR(VLOOKUP(G26,'(参考)排出係数'!$B$3:$J$16,6,FALSE),"")</f>
        <v/>
      </c>
      <c r="AR26" s="371" t="str">
        <f>IFERROR(VLOOKUP(G26,'(参考)排出係数'!$B$3:$J$16,4,FALSE),"")</f>
        <v/>
      </c>
      <c r="AS26" s="372">
        <f>IFERROR(VLOOKUP(G26,【共通】事業所の光熱費!$C$6:$H$13,6,FALSE),0)</f>
        <v>0</v>
      </c>
      <c r="AT26" s="371">
        <f>IFERROR(VLOOKUP(G26,'(参考)排出係数'!$B$3:$J$16,2,FALSE),0)</f>
        <v>0</v>
      </c>
      <c r="AU26" s="371">
        <f t="shared" si="23"/>
        <v>0</v>
      </c>
      <c r="AV26" s="371">
        <f>IFERROR(VLOOKUP(AA26,'(参考)排出係数'!$B$3:$J$16,5,FALSE),0)</f>
        <v>0</v>
      </c>
      <c r="AW26" s="371" t="str">
        <f>IFERROR(VLOOKUP(AA26,'(参考)排出係数'!$B$3:$J$16,6,FALSE),"")</f>
        <v/>
      </c>
      <c r="AX26" s="371" t="str">
        <f>IFERROR(VLOOKUP(AA26,'(参考)排出係数'!$B$3:$J$16,4,FALSE),"")</f>
        <v/>
      </c>
      <c r="AY26" s="372">
        <f>IFERROR(VLOOKUP(AA26,【共通】事業所の光熱費!$C$6:$H$13,6,FALSE),0)</f>
        <v>0</v>
      </c>
      <c r="AZ26" s="371">
        <f>IFERROR(VLOOKUP(AA26,'(参考)排出係数'!$B$3:$J$16,2,FALSE),0)</f>
        <v>0</v>
      </c>
      <c r="BA26" s="371">
        <f t="shared" si="24"/>
        <v>0</v>
      </c>
    </row>
    <row r="27" spans="1:53" s="354" customFormat="1" ht="18.75" customHeight="1">
      <c r="A27" s="352"/>
      <c r="B27" s="1043" t="s">
        <v>413</v>
      </c>
      <c r="C27" s="1145"/>
      <c r="D27" s="584"/>
      <c r="E27" s="866"/>
      <c r="F27" s="1041"/>
      <c r="G27" s="1148"/>
      <c r="H27" s="1043" t="str">
        <f t="shared" si="25"/>
        <v/>
      </c>
      <c r="I27" s="1174" t="str">
        <f t="shared" si="20"/>
        <v>－</v>
      </c>
      <c r="J27" s="1174" t="str">
        <f t="shared" si="4"/>
        <v>－</v>
      </c>
      <c r="K27" s="1135"/>
      <c r="L27" s="1175"/>
      <c r="M27" s="1044" t="str">
        <f t="shared" si="26"/>
        <v/>
      </c>
      <c r="N27" s="1135"/>
      <c r="O27" s="1043" t="str">
        <f t="shared" si="27"/>
        <v/>
      </c>
      <c r="P27" s="1135"/>
      <c r="Q27" s="1041"/>
      <c r="R27" s="1176" t="str">
        <f t="shared" si="6"/>
        <v/>
      </c>
      <c r="S27" s="1045"/>
      <c r="T27" s="1139" t="str">
        <f t="shared" si="28"/>
        <v/>
      </c>
      <c r="U27" s="1177" t="str">
        <f t="shared" si="8"/>
        <v/>
      </c>
      <c r="V27" s="1177" t="str">
        <f t="shared" si="9"/>
        <v/>
      </c>
      <c r="W27" s="1142" t="str">
        <f t="shared" si="29"/>
        <v>－</v>
      </c>
      <c r="X27" s="1178" t="str">
        <f t="shared" si="11"/>
        <v/>
      </c>
      <c r="Y27" s="1145"/>
      <c r="Z27" s="1041"/>
      <c r="AA27" s="1145"/>
      <c r="AB27" s="1135"/>
      <c r="AC27" s="1175"/>
      <c r="AD27" s="1045"/>
      <c r="AE27" s="1177" t="str">
        <f t="shared" si="12"/>
        <v/>
      </c>
      <c r="AF27" s="1043" t="str">
        <f t="shared" si="30"/>
        <v/>
      </c>
      <c r="AG27" s="1046" t="str">
        <f t="shared" si="31"/>
        <v/>
      </c>
      <c r="AH27" s="1179" t="str">
        <f t="shared" si="14"/>
        <v/>
      </c>
      <c r="AI27" s="873" t="str">
        <f t="shared" si="15"/>
        <v/>
      </c>
      <c r="AJ27" s="1177" t="str">
        <f t="shared" si="16"/>
        <v/>
      </c>
      <c r="AK27" s="1180" t="str">
        <f t="shared" si="32"/>
        <v>－</v>
      </c>
      <c r="AL27" s="1177" t="str">
        <f t="shared" si="22"/>
        <v/>
      </c>
      <c r="AM27" s="1177" t="str">
        <f t="shared" si="18"/>
        <v/>
      </c>
      <c r="AN27" s="1181" t="str">
        <f t="shared" si="33"/>
        <v>－</v>
      </c>
      <c r="AO27" s="352"/>
      <c r="AP27" s="371">
        <f>IFERROR(VLOOKUP(G27,'(参考)排出係数'!$B$3:$J$16,5,FALSE),0)</f>
        <v>0</v>
      </c>
      <c r="AQ27" s="371" t="str">
        <f>IFERROR(VLOOKUP(G27,'(参考)排出係数'!$B$3:$J$16,6,FALSE),"")</f>
        <v/>
      </c>
      <c r="AR27" s="371" t="str">
        <f>IFERROR(VLOOKUP(G27,'(参考)排出係数'!$B$3:$J$16,4,FALSE),"")</f>
        <v/>
      </c>
      <c r="AS27" s="372">
        <f>IFERROR(VLOOKUP(G27,【共通】事業所の光熱費!$C$6:$H$13,6,FALSE),0)</f>
        <v>0</v>
      </c>
      <c r="AT27" s="371">
        <f>IFERROR(VLOOKUP(G27,'(参考)排出係数'!$B$3:$J$16,2,FALSE),0)</f>
        <v>0</v>
      </c>
      <c r="AU27" s="371">
        <f t="shared" si="23"/>
        <v>0</v>
      </c>
      <c r="AV27" s="371">
        <f>IFERROR(VLOOKUP(AA27,'(参考)排出係数'!$B$3:$J$16,5,FALSE),0)</f>
        <v>0</v>
      </c>
      <c r="AW27" s="371" t="str">
        <f>IFERROR(VLOOKUP(AA27,'(参考)排出係数'!$B$3:$J$16,6,FALSE),"")</f>
        <v/>
      </c>
      <c r="AX27" s="371" t="str">
        <f>IFERROR(VLOOKUP(AA27,'(参考)排出係数'!$B$3:$J$16,4,FALSE),"")</f>
        <v/>
      </c>
      <c r="AY27" s="372">
        <f>IFERROR(VLOOKUP(AA27,【共通】事業所の光熱費!$C$6:$H$13,6,FALSE),0)</f>
        <v>0</v>
      </c>
      <c r="AZ27" s="371">
        <f>IFERROR(VLOOKUP(AA27,'(参考)排出係数'!$B$3:$J$16,2,FALSE),0)</f>
        <v>0</v>
      </c>
      <c r="BA27" s="371">
        <f t="shared" si="24"/>
        <v>0</v>
      </c>
    </row>
    <row r="28" spans="1:53" s="354" customFormat="1" ht="18.75" customHeight="1">
      <c r="A28" s="352"/>
      <c r="B28" s="1043" t="s">
        <v>414</v>
      </c>
      <c r="C28" s="1145"/>
      <c r="D28" s="584"/>
      <c r="E28" s="866"/>
      <c r="F28" s="1041"/>
      <c r="G28" s="1148"/>
      <c r="H28" s="1043" t="str">
        <f t="shared" si="25"/>
        <v/>
      </c>
      <c r="I28" s="1174" t="str">
        <f t="shared" si="20"/>
        <v>－</v>
      </c>
      <c r="J28" s="1174" t="str">
        <f t="shared" si="4"/>
        <v>－</v>
      </c>
      <c r="K28" s="1135"/>
      <c r="L28" s="1175"/>
      <c r="M28" s="1044" t="str">
        <f t="shared" si="26"/>
        <v/>
      </c>
      <c r="N28" s="1135"/>
      <c r="O28" s="1043" t="str">
        <f t="shared" si="27"/>
        <v/>
      </c>
      <c r="P28" s="1135"/>
      <c r="Q28" s="1041"/>
      <c r="R28" s="1176" t="str">
        <f t="shared" si="6"/>
        <v/>
      </c>
      <c r="S28" s="1045"/>
      <c r="T28" s="1139" t="str">
        <f t="shared" si="28"/>
        <v/>
      </c>
      <c r="U28" s="1177" t="str">
        <f t="shared" si="8"/>
        <v/>
      </c>
      <c r="V28" s="1177" t="str">
        <f t="shared" si="9"/>
        <v/>
      </c>
      <c r="W28" s="1142" t="str">
        <f t="shared" si="29"/>
        <v>－</v>
      </c>
      <c r="X28" s="1178" t="str">
        <f t="shared" si="11"/>
        <v/>
      </c>
      <c r="Y28" s="1145"/>
      <c r="Z28" s="1041"/>
      <c r="AA28" s="1145"/>
      <c r="AB28" s="1135"/>
      <c r="AC28" s="1175"/>
      <c r="AD28" s="1045"/>
      <c r="AE28" s="1177" t="str">
        <f t="shared" si="12"/>
        <v/>
      </c>
      <c r="AF28" s="1043" t="str">
        <f t="shared" si="30"/>
        <v/>
      </c>
      <c r="AG28" s="1046" t="str">
        <f t="shared" si="31"/>
        <v/>
      </c>
      <c r="AH28" s="1179" t="str">
        <f t="shared" si="14"/>
        <v/>
      </c>
      <c r="AI28" s="873" t="str">
        <f t="shared" si="15"/>
        <v/>
      </c>
      <c r="AJ28" s="1177" t="str">
        <f t="shared" si="16"/>
        <v/>
      </c>
      <c r="AK28" s="1180" t="str">
        <f t="shared" si="32"/>
        <v>－</v>
      </c>
      <c r="AL28" s="1177" t="str">
        <f t="shared" si="22"/>
        <v/>
      </c>
      <c r="AM28" s="1177" t="str">
        <f t="shared" si="18"/>
        <v/>
      </c>
      <c r="AN28" s="1181" t="str">
        <f t="shared" si="33"/>
        <v>－</v>
      </c>
      <c r="AO28" s="352"/>
      <c r="AP28" s="371">
        <f>IFERROR(VLOOKUP(G28,'(参考)排出係数'!$B$3:$J$16,5,FALSE),0)</f>
        <v>0</v>
      </c>
      <c r="AQ28" s="371" t="str">
        <f>IFERROR(VLOOKUP(G28,'(参考)排出係数'!$B$3:$J$16,6,FALSE),"")</f>
        <v/>
      </c>
      <c r="AR28" s="371" t="str">
        <f>IFERROR(VLOOKUP(G28,'(参考)排出係数'!$B$3:$J$16,4,FALSE),"")</f>
        <v/>
      </c>
      <c r="AS28" s="372">
        <f>IFERROR(VLOOKUP(G28,【共通】事業所の光熱費!$C$6:$H$13,6,FALSE),0)</f>
        <v>0</v>
      </c>
      <c r="AT28" s="371">
        <f>IFERROR(VLOOKUP(G28,'(参考)排出係数'!$B$3:$J$16,2,FALSE),0)</f>
        <v>0</v>
      </c>
      <c r="AU28" s="371">
        <f t="shared" si="23"/>
        <v>0</v>
      </c>
      <c r="AV28" s="371">
        <f>IFERROR(VLOOKUP(AA28,'(参考)排出係数'!$B$3:$J$16,5,FALSE),0)</f>
        <v>0</v>
      </c>
      <c r="AW28" s="371" t="str">
        <f>IFERROR(VLOOKUP(AA28,'(参考)排出係数'!$B$3:$J$16,6,FALSE),"")</f>
        <v/>
      </c>
      <c r="AX28" s="371" t="str">
        <f>IFERROR(VLOOKUP(AA28,'(参考)排出係数'!$B$3:$J$16,4,FALSE),"")</f>
        <v/>
      </c>
      <c r="AY28" s="372">
        <f>IFERROR(VLOOKUP(AA28,【共通】事業所の光熱費!$C$6:$H$13,6,FALSE),0)</f>
        <v>0</v>
      </c>
      <c r="AZ28" s="371">
        <f>IFERROR(VLOOKUP(AA28,'(参考)排出係数'!$B$3:$J$16,2,FALSE),0)</f>
        <v>0</v>
      </c>
      <c r="BA28" s="371">
        <f t="shared" si="24"/>
        <v>0</v>
      </c>
    </row>
    <row r="29" spans="1:53" s="354" customFormat="1" ht="18.75" customHeight="1">
      <c r="A29" s="352"/>
      <c r="B29" s="1043" t="s">
        <v>415</v>
      </c>
      <c r="C29" s="1145"/>
      <c r="D29" s="584"/>
      <c r="E29" s="866"/>
      <c r="F29" s="1041"/>
      <c r="G29" s="1148"/>
      <c r="H29" s="1043" t="str">
        <f t="shared" si="25"/>
        <v/>
      </c>
      <c r="I29" s="1174" t="str">
        <f t="shared" si="20"/>
        <v>－</v>
      </c>
      <c r="J29" s="1174" t="str">
        <f t="shared" si="4"/>
        <v>－</v>
      </c>
      <c r="K29" s="1135"/>
      <c r="L29" s="1175"/>
      <c r="M29" s="1044" t="str">
        <f t="shared" si="26"/>
        <v/>
      </c>
      <c r="N29" s="1135"/>
      <c r="O29" s="1043" t="str">
        <f t="shared" si="27"/>
        <v/>
      </c>
      <c r="P29" s="1135"/>
      <c r="Q29" s="1041"/>
      <c r="R29" s="1176" t="str">
        <f t="shared" si="6"/>
        <v/>
      </c>
      <c r="S29" s="1045"/>
      <c r="T29" s="1139" t="str">
        <f t="shared" si="28"/>
        <v/>
      </c>
      <c r="U29" s="1177" t="str">
        <f t="shared" si="8"/>
        <v/>
      </c>
      <c r="V29" s="1177" t="str">
        <f t="shared" si="9"/>
        <v/>
      </c>
      <c r="W29" s="1142" t="str">
        <f t="shared" si="29"/>
        <v>－</v>
      </c>
      <c r="X29" s="1178" t="str">
        <f t="shared" si="11"/>
        <v/>
      </c>
      <c r="Y29" s="1145"/>
      <c r="Z29" s="1041"/>
      <c r="AA29" s="1145"/>
      <c r="AB29" s="1135"/>
      <c r="AC29" s="1175"/>
      <c r="AD29" s="1045"/>
      <c r="AE29" s="1177" t="str">
        <f t="shared" si="12"/>
        <v/>
      </c>
      <c r="AF29" s="1043" t="str">
        <f t="shared" si="30"/>
        <v/>
      </c>
      <c r="AG29" s="1046" t="str">
        <f t="shared" si="31"/>
        <v/>
      </c>
      <c r="AH29" s="1179" t="str">
        <f t="shared" si="14"/>
        <v/>
      </c>
      <c r="AI29" s="873" t="str">
        <f t="shared" si="15"/>
        <v/>
      </c>
      <c r="AJ29" s="1177" t="str">
        <f t="shared" si="16"/>
        <v/>
      </c>
      <c r="AK29" s="1180" t="str">
        <f t="shared" si="32"/>
        <v>－</v>
      </c>
      <c r="AL29" s="1177" t="str">
        <f t="shared" si="22"/>
        <v/>
      </c>
      <c r="AM29" s="1177" t="str">
        <f t="shared" si="18"/>
        <v/>
      </c>
      <c r="AN29" s="1181" t="str">
        <f t="shared" si="33"/>
        <v>－</v>
      </c>
      <c r="AO29" s="352"/>
      <c r="AP29" s="371">
        <f>IFERROR(VLOOKUP(G29,'(参考)排出係数'!$B$3:$J$16,5,FALSE),0)</f>
        <v>0</v>
      </c>
      <c r="AQ29" s="371" t="str">
        <f>IFERROR(VLOOKUP(G29,'(参考)排出係数'!$B$3:$J$16,6,FALSE),"")</f>
        <v/>
      </c>
      <c r="AR29" s="371" t="str">
        <f>IFERROR(VLOOKUP(G29,'(参考)排出係数'!$B$3:$J$16,4,FALSE),"")</f>
        <v/>
      </c>
      <c r="AS29" s="372">
        <f>IFERROR(VLOOKUP(G29,【共通】事業所の光熱費!$C$6:$H$13,6,FALSE),0)</f>
        <v>0</v>
      </c>
      <c r="AT29" s="371">
        <f>IFERROR(VLOOKUP(G29,'(参考)排出係数'!$B$3:$J$16,2,FALSE),0)</f>
        <v>0</v>
      </c>
      <c r="AU29" s="371">
        <f t="shared" si="23"/>
        <v>0</v>
      </c>
      <c r="AV29" s="371">
        <f>IFERROR(VLOOKUP(AA29,'(参考)排出係数'!$B$3:$J$16,5,FALSE),0)</f>
        <v>0</v>
      </c>
      <c r="AW29" s="371" t="str">
        <f>IFERROR(VLOOKUP(AA29,'(参考)排出係数'!$B$3:$J$16,6,FALSE),"")</f>
        <v/>
      </c>
      <c r="AX29" s="371" t="str">
        <f>IFERROR(VLOOKUP(AA29,'(参考)排出係数'!$B$3:$J$16,4,FALSE),"")</f>
        <v/>
      </c>
      <c r="AY29" s="372">
        <f>IFERROR(VLOOKUP(AA29,【共通】事業所の光熱費!$C$6:$H$13,6,FALSE),0)</f>
        <v>0</v>
      </c>
      <c r="AZ29" s="371">
        <f>IFERROR(VLOOKUP(AA29,'(参考)排出係数'!$B$3:$J$16,2,FALSE),0)</f>
        <v>0</v>
      </c>
      <c r="BA29" s="371">
        <f t="shared" si="24"/>
        <v>0</v>
      </c>
    </row>
    <row r="30" spans="1:53" s="354" customFormat="1" ht="18.75" customHeight="1">
      <c r="A30" s="352"/>
      <c r="B30" s="1043" t="s">
        <v>416</v>
      </c>
      <c r="C30" s="1145"/>
      <c r="D30" s="584"/>
      <c r="E30" s="866"/>
      <c r="F30" s="1041"/>
      <c r="G30" s="1148"/>
      <c r="H30" s="1043" t="str">
        <f t="shared" si="25"/>
        <v/>
      </c>
      <c r="I30" s="1174" t="str">
        <f t="shared" si="20"/>
        <v>－</v>
      </c>
      <c r="J30" s="1174" t="str">
        <f t="shared" si="4"/>
        <v>－</v>
      </c>
      <c r="K30" s="1135"/>
      <c r="L30" s="1175"/>
      <c r="M30" s="1044" t="str">
        <f t="shared" si="26"/>
        <v/>
      </c>
      <c r="N30" s="1135"/>
      <c r="O30" s="1043" t="str">
        <f t="shared" si="27"/>
        <v/>
      </c>
      <c r="P30" s="1135"/>
      <c r="Q30" s="1041"/>
      <c r="R30" s="1176" t="str">
        <f t="shared" si="6"/>
        <v/>
      </c>
      <c r="S30" s="1045"/>
      <c r="T30" s="1139" t="str">
        <f t="shared" si="28"/>
        <v/>
      </c>
      <c r="U30" s="1177" t="str">
        <f t="shared" si="8"/>
        <v/>
      </c>
      <c r="V30" s="1177" t="str">
        <f t="shared" si="9"/>
        <v/>
      </c>
      <c r="W30" s="1142" t="str">
        <f t="shared" si="29"/>
        <v>－</v>
      </c>
      <c r="X30" s="1178" t="str">
        <f t="shared" si="11"/>
        <v/>
      </c>
      <c r="Y30" s="1145"/>
      <c r="Z30" s="1041"/>
      <c r="AA30" s="1145"/>
      <c r="AB30" s="1135"/>
      <c r="AC30" s="1175"/>
      <c r="AD30" s="1045"/>
      <c r="AE30" s="1177" t="str">
        <f t="shared" si="12"/>
        <v/>
      </c>
      <c r="AF30" s="1043" t="str">
        <f t="shared" si="30"/>
        <v/>
      </c>
      <c r="AG30" s="1046" t="str">
        <f t="shared" si="31"/>
        <v/>
      </c>
      <c r="AH30" s="1179" t="str">
        <f t="shared" si="14"/>
        <v/>
      </c>
      <c r="AI30" s="873" t="str">
        <f t="shared" si="15"/>
        <v/>
      </c>
      <c r="AJ30" s="1177" t="str">
        <f t="shared" si="16"/>
        <v/>
      </c>
      <c r="AK30" s="1180" t="str">
        <f t="shared" si="32"/>
        <v>－</v>
      </c>
      <c r="AL30" s="1177" t="str">
        <f t="shared" si="22"/>
        <v/>
      </c>
      <c r="AM30" s="1177" t="str">
        <f t="shared" si="18"/>
        <v/>
      </c>
      <c r="AN30" s="1181" t="str">
        <f t="shared" si="33"/>
        <v>－</v>
      </c>
      <c r="AO30" s="352"/>
      <c r="AP30" s="371">
        <f>IFERROR(VLOOKUP(G30,'(参考)排出係数'!$B$3:$J$16,5,FALSE),0)</f>
        <v>0</v>
      </c>
      <c r="AQ30" s="371" t="str">
        <f>IFERROR(VLOOKUP(G30,'(参考)排出係数'!$B$3:$J$16,6,FALSE),"")</f>
        <v/>
      </c>
      <c r="AR30" s="371" t="str">
        <f>IFERROR(VLOOKUP(G30,'(参考)排出係数'!$B$3:$J$16,4,FALSE),"")</f>
        <v/>
      </c>
      <c r="AS30" s="372">
        <f>IFERROR(VLOOKUP(G30,【共通】事業所の光熱費!$C$6:$H$13,6,FALSE),0)</f>
        <v>0</v>
      </c>
      <c r="AT30" s="371">
        <f>IFERROR(VLOOKUP(G30,'(参考)排出係数'!$B$3:$J$16,2,FALSE),0)</f>
        <v>0</v>
      </c>
      <c r="AU30" s="371">
        <f t="shared" si="23"/>
        <v>0</v>
      </c>
      <c r="AV30" s="371">
        <f>IFERROR(VLOOKUP(AA30,'(参考)排出係数'!$B$3:$J$16,5,FALSE),0)</f>
        <v>0</v>
      </c>
      <c r="AW30" s="371" t="str">
        <f>IFERROR(VLOOKUP(AA30,'(参考)排出係数'!$B$3:$J$16,6,FALSE),"")</f>
        <v/>
      </c>
      <c r="AX30" s="371" t="str">
        <f>IFERROR(VLOOKUP(AA30,'(参考)排出係数'!$B$3:$J$16,4,FALSE),"")</f>
        <v/>
      </c>
      <c r="AY30" s="372">
        <f>IFERROR(VLOOKUP(AA30,【共通】事業所の光熱費!$C$6:$H$13,6,FALSE),0)</f>
        <v>0</v>
      </c>
      <c r="AZ30" s="371">
        <f>IFERROR(VLOOKUP(AA30,'(参考)排出係数'!$B$3:$J$16,2,FALSE),0)</f>
        <v>0</v>
      </c>
      <c r="BA30" s="371">
        <f t="shared" si="24"/>
        <v>0</v>
      </c>
    </row>
    <row r="31" spans="1:53" s="354" customFormat="1" ht="18.75" customHeight="1">
      <c r="A31" s="352"/>
      <c r="B31" s="1043" t="s">
        <v>417</v>
      </c>
      <c r="C31" s="1145"/>
      <c r="D31" s="584"/>
      <c r="E31" s="866"/>
      <c r="F31" s="1041"/>
      <c r="G31" s="1148"/>
      <c r="H31" s="1043" t="str">
        <f t="shared" si="25"/>
        <v/>
      </c>
      <c r="I31" s="1174" t="str">
        <f t="shared" si="20"/>
        <v>－</v>
      </c>
      <c r="J31" s="1174" t="str">
        <f t="shared" si="4"/>
        <v>－</v>
      </c>
      <c r="K31" s="1135"/>
      <c r="L31" s="1175"/>
      <c r="M31" s="1044" t="str">
        <f t="shared" si="26"/>
        <v/>
      </c>
      <c r="N31" s="1135"/>
      <c r="O31" s="1043" t="str">
        <f t="shared" si="27"/>
        <v/>
      </c>
      <c r="P31" s="1135"/>
      <c r="Q31" s="1041"/>
      <c r="R31" s="1176" t="str">
        <f t="shared" si="6"/>
        <v/>
      </c>
      <c r="S31" s="1045"/>
      <c r="T31" s="1139" t="str">
        <f t="shared" si="28"/>
        <v/>
      </c>
      <c r="U31" s="1177" t="str">
        <f t="shared" si="8"/>
        <v/>
      </c>
      <c r="V31" s="1177" t="str">
        <f t="shared" si="9"/>
        <v/>
      </c>
      <c r="W31" s="1142" t="str">
        <f t="shared" si="29"/>
        <v>－</v>
      </c>
      <c r="X31" s="1178" t="str">
        <f t="shared" si="11"/>
        <v/>
      </c>
      <c r="Y31" s="1145"/>
      <c r="Z31" s="1041"/>
      <c r="AA31" s="1145"/>
      <c r="AB31" s="1135"/>
      <c r="AC31" s="1175"/>
      <c r="AD31" s="1045"/>
      <c r="AE31" s="1177" t="str">
        <f t="shared" si="12"/>
        <v/>
      </c>
      <c r="AF31" s="1043" t="str">
        <f t="shared" si="30"/>
        <v/>
      </c>
      <c r="AG31" s="1046" t="str">
        <f t="shared" si="31"/>
        <v/>
      </c>
      <c r="AH31" s="1179" t="str">
        <f t="shared" si="14"/>
        <v/>
      </c>
      <c r="AI31" s="873" t="str">
        <f t="shared" si="15"/>
        <v/>
      </c>
      <c r="AJ31" s="1177" t="str">
        <f t="shared" si="16"/>
        <v/>
      </c>
      <c r="AK31" s="1180" t="str">
        <f t="shared" si="32"/>
        <v>－</v>
      </c>
      <c r="AL31" s="1177" t="str">
        <f t="shared" si="22"/>
        <v/>
      </c>
      <c r="AM31" s="1177" t="str">
        <f t="shared" si="18"/>
        <v/>
      </c>
      <c r="AN31" s="1181" t="str">
        <f t="shared" si="33"/>
        <v>－</v>
      </c>
      <c r="AO31" s="352"/>
      <c r="AP31" s="371">
        <f>IFERROR(VLOOKUP(G31,'(参考)排出係数'!$B$3:$J$16,5,FALSE),0)</f>
        <v>0</v>
      </c>
      <c r="AQ31" s="371" t="str">
        <f>IFERROR(VLOOKUP(G31,'(参考)排出係数'!$B$3:$J$16,6,FALSE),"")</f>
        <v/>
      </c>
      <c r="AR31" s="371" t="str">
        <f>IFERROR(VLOOKUP(G31,'(参考)排出係数'!$B$3:$J$16,4,FALSE),"")</f>
        <v/>
      </c>
      <c r="AS31" s="372">
        <f>IFERROR(VLOOKUP(G31,【共通】事業所の光熱費!$C$6:$H$13,6,FALSE),0)</f>
        <v>0</v>
      </c>
      <c r="AT31" s="371">
        <f>IFERROR(VLOOKUP(G31,'(参考)排出係数'!$B$3:$J$16,2,FALSE),0)</f>
        <v>0</v>
      </c>
      <c r="AU31" s="371">
        <f t="shared" si="23"/>
        <v>0</v>
      </c>
      <c r="AV31" s="371">
        <f>IFERROR(VLOOKUP(AA31,'(参考)排出係数'!$B$3:$J$16,5,FALSE),0)</f>
        <v>0</v>
      </c>
      <c r="AW31" s="371" t="str">
        <f>IFERROR(VLOOKUP(AA31,'(参考)排出係数'!$B$3:$J$16,6,FALSE),"")</f>
        <v/>
      </c>
      <c r="AX31" s="371" t="str">
        <f>IFERROR(VLOOKUP(AA31,'(参考)排出係数'!$B$3:$J$16,4,FALSE),"")</f>
        <v/>
      </c>
      <c r="AY31" s="372">
        <f>IFERROR(VLOOKUP(AA31,【共通】事業所の光熱費!$C$6:$H$13,6,FALSE),0)</f>
        <v>0</v>
      </c>
      <c r="AZ31" s="371">
        <f>IFERROR(VLOOKUP(AA31,'(参考)排出係数'!$B$3:$J$16,2,FALSE),0)</f>
        <v>0</v>
      </c>
      <c r="BA31" s="371">
        <f t="shared" si="24"/>
        <v>0</v>
      </c>
    </row>
    <row r="32" spans="1:53" s="354" customFormat="1" ht="18.75" customHeight="1">
      <c r="A32" s="352"/>
      <c r="B32" s="1043" t="s">
        <v>418</v>
      </c>
      <c r="C32" s="1145"/>
      <c r="D32" s="584"/>
      <c r="E32" s="866"/>
      <c r="F32" s="1041"/>
      <c r="G32" s="1148"/>
      <c r="H32" s="1043" t="str">
        <f t="shared" si="25"/>
        <v/>
      </c>
      <c r="I32" s="1174" t="str">
        <f t="shared" si="20"/>
        <v>－</v>
      </c>
      <c r="J32" s="1174" t="str">
        <f t="shared" si="4"/>
        <v>－</v>
      </c>
      <c r="K32" s="1135"/>
      <c r="L32" s="1175"/>
      <c r="M32" s="1044" t="str">
        <f t="shared" si="26"/>
        <v/>
      </c>
      <c r="N32" s="1135"/>
      <c r="O32" s="1043" t="str">
        <f t="shared" si="27"/>
        <v/>
      </c>
      <c r="P32" s="1135"/>
      <c r="Q32" s="1041"/>
      <c r="R32" s="1176" t="str">
        <f t="shared" si="6"/>
        <v/>
      </c>
      <c r="S32" s="1045"/>
      <c r="T32" s="1139" t="str">
        <f t="shared" si="28"/>
        <v/>
      </c>
      <c r="U32" s="1177" t="str">
        <f t="shared" si="8"/>
        <v/>
      </c>
      <c r="V32" s="1177" t="str">
        <f t="shared" si="9"/>
        <v/>
      </c>
      <c r="W32" s="1142" t="str">
        <f t="shared" si="29"/>
        <v>－</v>
      </c>
      <c r="X32" s="1178" t="str">
        <f t="shared" si="11"/>
        <v/>
      </c>
      <c r="Y32" s="1145"/>
      <c r="Z32" s="1041"/>
      <c r="AA32" s="1145"/>
      <c r="AB32" s="1135"/>
      <c r="AC32" s="1175"/>
      <c r="AD32" s="1045"/>
      <c r="AE32" s="1177" t="str">
        <f t="shared" si="12"/>
        <v/>
      </c>
      <c r="AF32" s="1043" t="str">
        <f t="shared" si="30"/>
        <v/>
      </c>
      <c r="AG32" s="1046" t="str">
        <f t="shared" si="31"/>
        <v/>
      </c>
      <c r="AH32" s="1179" t="str">
        <f t="shared" si="14"/>
        <v/>
      </c>
      <c r="AI32" s="873" t="str">
        <f t="shared" si="15"/>
        <v/>
      </c>
      <c r="AJ32" s="1177" t="str">
        <f t="shared" si="16"/>
        <v/>
      </c>
      <c r="AK32" s="1180" t="str">
        <f t="shared" si="32"/>
        <v>－</v>
      </c>
      <c r="AL32" s="1177" t="str">
        <f t="shared" si="22"/>
        <v/>
      </c>
      <c r="AM32" s="1177" t="str">
        <f t="shared" si="18"/>
        <v/>
      </c>
      <c r="AN32" s="1181" t="str">
        <f t="shared" si="33"/>
        <v>－</v>
      </c>
      <c r="AO32" s="352"/>
      <c r="AP32" s="371">
        <f>IFERROR(VLOOKUP(G32,'(参考)排出係数'!$B$3:$J$16,5,FALSE),0)</f>
        <v>0</v>
      </c>
      <c r="AQ32" s="371" t="str">
        <f>IFERROR(VLOOKUP(G32,'(参考)排出係数'!$B$3:$J$16,6,FALSE),"")</f>
        <v/>
      </c>
      <c r="AR32" s="371" t="str">
        <f>IFERROR(VLOOKUP(G32,'(参考)排出係数'!$B$3:$J$16,4,FALSE),"")</f>
        <v/>
      </c>
      <c r="AS32" s="372">
        <f>IFERROR(VLOOKUP(G32,【共通】事業所の光熱費!$C$6:$H$13,6,FALSE),0)</f>
        <v>0</v>
      </c>
      <c r="AT32" s="371">
        <f>IFERROR(VLOOKUP(G32,'(参考)排出係数'!$B$3:$J$16,2,FALSE),0)</f>
        <v>0</v>
      </c>
      <c r="AU32" s="371">
        <f t="shared" si="23"/>
        <v>0</v>
      </c>
      <c r="AV32" s="371">
        <f>IFERROR(VLOOKUP(AA32,'(参考)排出係数'!$B$3:$J$16,5,FALSE),0)</f>
        <v>0</v>
      </c>
      <c r="AW32" s="371" t="str">
        <f>IFERROR(VLOOKUP(AA32,'(参考)排出係数'!$B$3:$J$16,6,FALSE),"")</f>
        <v/>
      </c>
      <c r="AX32" s="371" t="str">
        <f>IFERROR(VLOOKUP(AA32,'(参考)排出係数'!$B$3:$J$16,4,FALSE),"")</f>
        <v/>
      </c>
      <c r="AY32" s="372">
        <f>IFERROR(VLOOKUP(AA32,【共通】事業所の光熱費!$C$6:$H$13,6,FALSE),0)</f>
        <v>0</v>
      </c>
      <c r="AZ32" s="371">
        <f>IFERROR(VLOOKUP(AA32,'(参考)排出係数'!$B$3:$J$16,2,FALSE),0)</f>
        <v>0</v>
      </c>
      <c r="BA32" s="371">
        <f t="shared" si="24"/>
        <v>0</v>
      </c>
    </row>
    <row r="33" spans="1:53" s="354" customFormat="1" ht="18.75" customHeight="1">
      <c r="A33" s="352"/>
      <c r="B33" s="1043" t="s">
        <v>419</v>
      </c>
      <c r="C33" s="1145"/>
      <c r="D33" s="584"/>
      <c r="E33" s="866"/>
      <c r="F33" s="1041"/>
      <c r="G33" s="1148"/>
      <c r="H33" s="1043" t="str">
        <f t="shared" si="25"/>
        <v/>
      </c>
      <c r="I33" s="1174" t="str">
        <f t="shared" si="20"/>
        <v>－</v>
      </c>
      <c r="J33" s="1174" t="str">
        <f t="shared" si="4"/>
        <v>－</v>
      </c>
      <c r="K33" s="1135"/>
      <c r="L33" s="1175"/>
      <c r="M33" s="1044" t="str">
        <f t="shared" si="26"/>
        <v/>
      </c>
      <c r="N33" s="1135"/>
      <c r="O33" s="1043" t="str">
        <f t="shared" si="27"/>
        <v/>
      </c>
      <c r="P33" s="1135"/>
      <c r="Q33" s="1041"/>
      <c r="R33" s="1176" t="str">
        <f t="shared" si="6"/>
        <v/>
      </c>
      <c r="S33" s="1045"/>
      <c r="T33" s="1139" t="str">
        <f t="shared" si="28"/>
        <v/>
      </c>
      <c r="U33" s="1177" t="str">
        <f t="shared" si="8"/>
        <v/>
      </c>
      <c r="V33" s="1177" t="str">
        <f t="shared" si="9"/>
        <v/>
      </c>
      <c r="W33" s="1142" t="str">
        <f t="shared" si="29"/>
        <v>－</v>
      </c>
      <c r="X33" s="1178" t="str">
        <f t="shared" si="11"/>
        <v/>
      </c>
      <c r="Y33" s="1145"/>
      <c r="Z33" s="1041"/>
      <c r="AA33" s="1145"/>
      <c r="AB33" s="1135"/>
      <c r="AC33" s="1175"/>
      <c r="AD33" s="1045"/>
      <c r="AE33" s="1177" t="str">
        <f t="shared" si="12"/>
        <v/>
      </c>
      <c r="AF33" s="1043" t="str">
        <f t="shared" si="30"/>
        <v/>
      </c>
      <c r="AG33" s="1046" t="str">
        <f t="shared" si="31"/>
        <v/>
      </c>
      <c r="AH33" s="1179" t="str">
        <f t="shared" si="14"/>
        <v/>
      </c>
      <c r="AI33" s="873" t="str">
        <f t="shared" si="15"/>
        <v/>
      </c>
      <c r="AJ33" s="1177" t="str">
        <f t="shared" si="16"/>
        <v/>
      </c>
      <c r="AK33" s="1180" t="str">
        <f t="shared" si="32"/>
        <v>－</v>
      </c>
      <c r="AL33" s="1177" t="str">
        <f t="shared" si="22"/>
        <v/>
      </c>
      <c r="AM33" s="1177" t="str">
        <f t="shared" si="18"/>
        <v/>
      </c>
      <c r="AN33" s="1181" t="str">
        <f t="shared" si="33"/>
        <v>－</v>
      </c>
      <c r="AO33" s="352"/>
      <c r="AP33" s="371">
        <f>IFERROR(VLOOKUP(G33,'(参考)排出係数'!$B$3:$J$16,5,FALSE),0)</f>
        <v>0</v>
      </c>
      <c r="AQ33" s="371" t="str">
        <f>IFERROR(VLOOKUP(G33,'(参考)排出係数'!$B$3:$J$16,6,FALSE),"")</f>
        <v/>
      </c>
      <c r="AR33" s="371" t="str">
        <f>IFERROR(VLOOKUP(G33,'(参考)排出係数'!$B$3:$J$16,4,FALSE),"")</f>
        <v/>
      </c>
      <c r="AS33" s="372">
        <f>IFERROR(VLOOKUP(G33,【共通】事業所の光熱費!$C$6:$H$13,6,FALSE),0)</f>
        <v>0</v>
      </c>
      <c r="AT33" s="371">
        <f>IFERROR(VLOOKUP(G33,'(参考)排出係数'!$B$3:$J$16,2,FALSE),0)</f>
        <v>0</v>
      </c>
      <c r="AU33" s="371">
        <f t="shared" si="23"/>
        <v>0</v>
      </c>
      <c r="AV33" s="371">
        <f>IFERROR(VLOOKUP(AA33,'(参考)排出係数'!$B$3:$J$16,5,FALSE),0)</f>
        <v>0</v>
      </c>
      <c r="AW33" s="371" t="str">
        <f>IFERROR(VLOOKUP(AA33,'(参考)排出係数'!$B$3:$J$16,6,FALSE),"")</f>
        <v/>
      </c>
      <c r="AX33" s="371" t="str">
        <f>IFERROR(VLOOKUP(AA33,'(参考)排出係数'!$B$3:$J$16,4,FALSE),"")</f>
        <v/>
      </c>
      <c r="AY33" s="372">
        <f>IFERROR(VLOOKUP(AA33,【共通】事業所の光熱費!$C$6:$H$13,6,FALSE),0)</f>
        <v>0</v>
      </c>
      <c r="AZ33" s="371">
        <f>IFERROR(VLOOKUP(AA33,'(参考)排出係数'!$B$3:$J$16,2,FALSE),0)</f>
        <v>0</v>
      </c>
      <c r="BA33" s="371">
        <f t="shared" si="24"/>
        <v>0</v>
      </c>
    </row>
    <row r="34" spans="1:53" s="354" customFormat="1" ht="18.75" customHeight="1">
      <c r="A34" s="352"/>
      <c r="B34" s="1043" t="s">
        <v>420</v>
      </c>
      <c r="C34" s="1145"/>
      <c r="D34" s="584"/>
      <c r="E34" s="866"/>
      <c r="F34" s="1041"/>
      <c r="G34" s="1148"/>
      <c r="H34" s="1043" t="str">
        <f t="shared" si="25"/>
        <v/>
      </c>
      <c r="I34" s="1174" t="str">
        <f t="shared" si="20"/>
        <v>－</v>
      </c>
      <c r="J34" s="1174" t="str">
        <f t="shared" si="4"/>
        <v>－</v>
      </c>
      <c r="K34" s="1135"/>
      <c r="L34" s="1175"/>
      <c r="M34" s="1044" t="str">
        <f t="shared" si="26"/>
        <v/>
      </c>
      <c r="N34" s="1135"/>
      <c r="O34" s="1043" t="str">
        <f t="shared" si="27"/>
        <v/>
      </c>
      <c r="P34" s="1135"/>
      <c r="Q34" s="1041"/>
      <c r="R34" s="1176" t="str">
        <f t="shared" si="6"/>
        <v/>
      </c>
      <c r="S34" s="1045"/>
      <c r="T34" s="1139" t="str">
        <f t="shared" si="28"/>
        <v/>
      </c>
      <c r="U34" s="1177" t="str">
        <f t="shared" si="8"/>
        <v/>
      </c>
      <c r="V34" s="1177" t="str">
        <f t="shared" si="9"/>
        <v/>
      </c>
      <c r="W34" s="1142" t="str">
        <f t="shared" si="29"/>
        <v>－</v>
      </c>
      <c r="X34" s="1178" t="str">
        <f t="shared" si="11"/>
        <v/>
      </c>
      <c r="Y34" s="1145"/>
      <c r="Z34" s="1041"/>
      <c r="AA34" s="1145"/>
      <c r="AB34" s="1135"/>
      <c r="AC34" s="1175"/>
      <c r="AD34" s="1045"/>
      <c r="AE34" s="1177" t="str">
        <f t="shared" si="12"/>
        <v/>
      </c>
      <c r="AF34" s="1043" t="str">
        <f t="shared" si="30"/>
        <v/>
      </c>
      <c r="AG34" s="1046" t="str">
        <f t="shared" si="31"/>
        <v/>
      </c>
      <c r="AH34" s="1179" t="str">
        <f t="shared" si="14"/>
        <v/>
      </c>
      <c r="AI34" s="873" t="str">
        <f t="shared" si="15"/>
        <v/>
      </c>
      <c r="AJ34" s="1177" t="str">
        <f t="shared" si="16"/>
        <v/>
      </c>
      <c r="AK34" s="1180" t="str">
        <f t="shared" si="32"/>
        <v>－</v>
      </c>
      <c r="AL34" s="1177" t="str">
        <f t="shared" si="22"/>
        <v/>
      </c>
      <c r="AM34" s="1177" t="str">
        <f t="shared" si="18"/>
        <v/>
      </c>
      <c r="AN34" s="1181" t="str">
        <f t="shared" si="33"/>
        <v>－</v>
      </c>
      <c r="AO34" s="352"/>
      <c r="AP34" s="371">
        <f>IFERROR(VLOOKUP(G34,'(参考)排出係数'!$B$3:$J$16,5,FALSE),0)</f>
        <v>0</v>
      </c>
      <c r="AQ34" s="371" t="str">
        <f>IFERROR(VLOOKUP(G34,'(参考)排出係数'!$B$3:$J$16,6,FALSE),"")</f>
        <v/>
      </c>
      <c r="AR34" s="371" t="str">
        <f>IFERROR(VLOOKUP(G34,'(参考)排出係数'!$B$3:$J$16,4,FALSE),"")</f>
        <v/>
      </c>
      <c r="AS34" s="372">
        <f>IFERROR(VLOOKUP(G34,【共通】事業所の光熱費!$C$6:$H$13,6,FALSE),0)</f>
        <v>0</v>
      </c>
      <c r="AT34" s="371">
        <f>IFERROR(VLOOKUP(G34,'(参考)排出係数'!$B$3:$J$16,2,FALSE),0)</f>
        <v>0</v>
      </c>
      <c r="AU34" s="371">
        <f t="shared" si="23"/>
        <v>0</v>
      </c>
      <c r="AV34" s="371">
        <f>IFERROR(VLOOKUP(AA34,'(参考)排出係数'!$B$3:$J$16,5,FALSE),0)</f>
        <v>0</v>
      </c>
      <c r="AW34" s="371" t="str">
        <f>IFERROR(VLOOKUP(AA34,'(参考)排出係数'!$B$3:$J$16,6,FALSE),"")</f>
        <v/>
      </c>
      <c r="AX34" s="371" t="str">
        <f>IFERROR(VLOOKUP(AA34,'(参考)排出係数'!$B$3:$J$16,4,FALSE),"")</f>
        <v/>
      </c>
      <c r="AY34" s="372">
        <f>IFERROR(VLOOKUP(AA34,【共通】事業所の光熱費!$C$6:$H$13,6,FALSE),0)</f>
        <v>0</v>
      </c>
      <c r="AZ34" s="371">
        <f>IFERROR(VLOOKUP(AA34,'(参考)排出係数'!$B$3:$J$16,2,FALSE),0)</f>
        <v>0</v>
      </c>
      <c r="BA34" s="371">
        <f t="shared" si="24"/>
        <v>0</v>
      </c>
    </row>
    <row r="35" spans="1:53" s="354" customFormat="1" ht="18.75" customHeight="1">
      <c r="A35" s="352"/>
      <c r="B35" s="1043" t="s">
        <v>421</v>
      </c>
      <c r="C35" s="1145"/>
      <c r="D35" s="584"/>
      <c r="E35" s="866"/>
      <c r="F35" s="1041"/>
      <c r="G35" s="1148"/>
      <c r="H35" s="1043" t="str">
        <f t="shared" si="25"/>
        <v/>
      </c>
      <c r="I35" s="1174" t="str">
        <f t="shared" si="20"/>
        <v>－</v>
      </c>
      <c r="J35" s="1174" t="str">
        <f t="shared" si="4"/>
        <v>－</v>
      </c>
      <c r="K35" s="1135"/>
      <c r="L35" s="1175"/>
      <c r="M35" s="1044" t="str">
        <f t="shared" si="26"/>
        <v/>
      </c>
      <c r="N35" s="1135"/>
      <c r="O35" s="1043" t="str">
        <f t="shared" si="27"/>
        <v/>
      </c>
      <c r="P35" s="1135"/>
      <c r="Q35" s="1041"/>
      <c r="R35" s="1176" t="str">
        <f t="shared" si="6"/>
        <v/>
      </c>
      <c r="S35" s="1045"/>
      <c r="T35" s="1139" t="str">
        <f t="shared" si="28"/>
        <v/>
      </c>
      <c r="U35" s="1177" t="str">
        <f t="shared" si="8"/>
        <v/>
      </c>
      <c r="V35" s="1177" t="str">
        <f t="shared" si="9"/>
        <v/>
      </c>
      <c r="W35" s="1142" t="str">
        <f t="shared" si="29"/>
        <v>－</v>
      </c>
      <c r="X35" s="1178" t="str">
        <f t="shared" si="11"/>
        <v/>
      </c>
      <c r="Y35" s="1145"/>
      <c r="Z35" s="1041"/>
      <c r="AA35" s="1145"/>
      <c r="AB35" s="1135"/>
      <c r="AC35" s="1175"/>
      <c r="AD35" s="1045"/>
      <c r="AE35" s="1177" t="str">
        <f t="shared" si="12"/>
        <v/>
      </c>
      <c r="AF35" s="1043" t="str">
        <f t="shared" si="30"/>
        <v/>
      </c>
      <c r="AG35" s="1046" t="str">
        <f t="shared" si="31"/>
        <v/>
      </c>
      <c r="AH35" s="1179" t="str">
        <f t="shared" si="14"/>
        <v/>
      </c>
      <c r="AI35" s="873" t="str">
        <f t="shared" si="15"/>
        <v/>
      </c>
      <c r="AJ35" s="1177" t="str">
        <f t="shared" si="16"/>
        <v/>
      </c>
      <c r="AK35" s="1180" t="str">
        <f t="shared" si="32"/>
        <v>－</v>
      </c>
      <c r="AL35" s="1177" t="str">
        <f t="shared" si="22"/>
        <v/>
      </c>
      <c r="AM35" s="1177" t="str">
        <f t="shared" si="18"/>
        <v/>
      </c>
      <c r="AN35" s="1181" t="str">
        <f t="shared" si="33"/>
        <v>－</v>
      </c>
      <c r="AO35" s="352"/>
      <c r="AP35" s="371">
        <f>IFERROR(VLOOKUP(G35,'(参考)排出係数'!$B$3:$J$16,5,FALSE),0)</f>
        <v>0</v>
      </c>
      <c r="AQ35" s="371" t="str">
        <f>IFERROR(VLOOKUP(G35,'(参考)排出係数'!$B$3:$J$16,6,FALSE),"")</f>
        <v/>
      </c>
      <c r="AR35" s="371" t="str">
        <f>IFERROR(VLOOKUP(G35,'(参考)排出係数'!$B$3:$J$16,4,FALSE),"")</f>
        <v/>
      </c>
      <c r="AS35" s="372">
        <f>IFERROR(VLOOKUP(G35,【共通】事業所の光熱費!$C$6:$H$13,6,FALSE),0)</f>
        <v>0</v>
      </c>
      <c r="AT35" s="371">
        <f>IFERROR(VLOOKUP(G35,'(参考)排出係数'!$B$3:$J$16,2,FALSE),0)</f>
        <v>0</v>
      </c>
      <c r="AU35" s="371">
        <f t="shared" si="23"/>
        <v>0</v>
      </c>
      <c r="AV35" s="371">
        <f>IFERROR(VLOOKUP(AA35,'(参考)排出係数'!$B$3:$J$16,5,FALSE),0)</f>
        <v>0</v>
      </c>
      <c r="AW35" s="371" t="str">
        <f>IFERROR(VLOOKUP(AA35,'(参考)排出係数'!$B$3:$J$16,6,FALSE),"")</f>
        <v/>
      </c>
      <c r="AX35" s="371" t="str">
        <f>IFERROR(VLOOKUP(AA35,'(参考)排出係数'!$B$3:$J$16,4,FALSE),"")</f>
        <v/>
      </c>
      <c r="AY35" s="372">
        <f>IFERROR(VLOOKUP(AA35,【共通】事業所の光熱費!$C$6:$H$13,6,FALSE),0)</f>
        <v>0</v>
      </c>
      <c r="AZ35" s="371">
        <f>IFERROR(VLOOKUP(AA35,'(参考)排出係数'!$B$3:$J$16,2,FALSE),0)</f>
        <v>0</v>
      </c>
      <c r="BA35" s="371">
        <f t="shared" si="24"/>
        <v>0</v>
      </c>
    </row>
    <row r="36" spans="1:53" s="354" customFormat="1" ht="18.75" customHeight="1">
      <c r="A36" s="352"/>
      <c r="B36" s="1043" t="s">
        <v>422</v>
      </c>
      <c r="C36" s="1145"/>
      <c r="D36" s="584"/>
      <c r="E36" s="866"/>
      <c r="F36" s="1041"/>
      <c r="G36" s="1148"/>
      <c r="H36" s="1043" t="str">
        <f t="shared" si="25"/>
        <v/>
      </c>
      <c r="I36" s="1174" t="str">
        <f t="shared" si="20"/>
        <v>－</v>
      </c>
      <c r="J36" s="1174" t="str">
        <f t="shared" si="4"/>
        <v>－</v>
      </c>
      <c r="K36" s="1135"/>
      <c r="L36" s="1175"/>
      <c r="M36" s="1044" t="str">
        <f t="shared" si="26"/>
        <v/>
      </c>
      <c r="N36" s="1135"/>
      <c r="O36" s="1043" t="str">
        <f t="shared" si="27"/>
        <v/>
      </c>
      <c r="P36" s="1135"/>
      <c r="Q36" s="1041"/>
      <c r="R36" s="1176" t="str">
        <f t="shared" si="6"/>
        <v/>
      </c>
      <c r="S36" s="1045"/>
      <c r="T36" s="1139" t="str">
        <f t="shared" si="28"/>
        <v/>
      </c>
      <c r="U36" s="1177" t="str">
        <f t="shared" si="8"/>
        <v/>
      </c>
      <c r="V36" s="1177" t="str">
        <f t="shared" si="9"/>
        <v/>
      </c>
      <c r="W36" s="1142" t="str">
        <f t="shared" si="29"/>
        <v>－</v>
      </c>
      <c r="X36" s="1178" t="str">
        <f t="shared" si="11"/>
        <v/>
      </c>
      <c r="Y36" s="1145"/>
      <c r="Z36" s="1041"/>
      <c r="AA36" s="1145"/>
      <c r="AB36" s="1135"/>
      <c r="AC36" s="1175"/>
      <c r="AD36" s="1045"/>
      <c r="AE36" s="1177" t="str">
        <f t="shared" si="12"/>
        <v/>
      </c>
      <c r="AF36" s="1043" t="str">
        <f t="shared" si="30"/>
        <v/>
      </c>
      <c r="AG36" s="1046" t="str">
        <f t="shared" si="31"/>
        <v/>
      </c>
      <c r="AH36" s="1179" t="str">
        <f t="shared" si="14"/>
        <v/>
      </c>
      <c r="AI36" s="873" t="str">
        <f t="shared" si="15"/>
        <v/>
      </c>
      <c r="AJ36" s="1177" t="str">
        <f t="shared" si="16"/>
        <v/>
      </c>
      <c r="AK36" s="1180" t="str">
        <f t="shared" si="32"/>
        <v>－</v>
      </c>
      <c r="AL36" s="1177" t="str">
        <f t="shared" si="22"/>
        <v/>
      </c>
      <c r="AM36" s="1177" t="str">
        <f t="shared" si="18"/>
        <v/>
      </c>
      <c r="AN36" s="1181" t="str">
        <f t="shared" si="33"/>
        <v>－</v>
      </c>
      <c r="AO36" s="352"/>
      <c r="AP36" s="371">
        <f>IFERROR(VLOOKUP(G36,'(参考)排出係数'!$B$3:$J$16,5,FALSE),0)</f>
        <v>0</v>
      </c>
      <c r="AQ36" s="371" t="str">
        <f>IFERROR(VLOOKUP(G36,'(参考)排出係数'!$B$3:$J$16,6,FALSE),"")</f>
        <v/>
      </c>
      <c r="AR36" s="371" t="str">
        <f>IFERROR(VLOOKUP(G36,'(参考)排出係数'!$B$3:$J$16,4,FALSE),"")</f>
        <v/>
      </c>
      <c r="AS36" s="372">
        <f>IFERROR(VLOOKUP(G36,【共通】事業所の光熱費!$C$6:$H$13,6,FALSE),0)</f>
        <v>0</v>
      </c>
      <c r="AT36" s="371">
        <f>IFERROR(VLOOKUP(G36,'(参考)排出係数'!$B$3:$J$16,2,FALSE),0)</f>
        <v>0</v>
      </c>
      <c r="AU36" s="371">
        <f t="shared" si="23"/>
        <v>0</v>
      </c>
      <c r="AV36" s="371">
        <f>IFERROR(VLOOKUP(AA36,'(参考)排出係数'!$B$3:$J$16,5,FALSE),0)</f>
        <v>0</v>
      </c>
      <c r="AW36" s="371" t="str">
        <f>IFERROR(VLOOKUP(AA36,'(参考)排出係数'!$B$3:$J$16,6,FALSE),"")</f>
        <v/>
      </c>
      <c r="AX36" s="371" t="str">
        <f>IFERROR(VLOOKUP(AA36,'(参考)排出係数'!$B$3:$J$16,4,FALSE),"")</f>
        <v/>
      </c>
      <c r="AY36" s="372">
        <f>IFERROR(VLOOKUP(AA36,【共通】事業所の光熱費!$C$6:$H$13,6,FALSE),0)</f>
        <v>0</v>
      </c>
      <c r="AZ36" s="371">
        <f>IFERROR(VLOOKUP(AA36,'(参考)排出係数'!$B$3:$J$16,2,FALSE),0)</f>
        <v>0</v>
      </c>
      <c r="BA36" s="371">
        <f t="shared" si="24"/>
        <v>0</v>
      </c>
    </row>
    <row r="37" spans="1:53" s="114" customFormat="1" ht="18.75" customHeight="1">
      <c r="A37" s="164"/>
      <c r="B37" s="164"/>
      <c r="C37" s="164"/>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U37" s="114" t="s">
        <v>289</v>
      </c>
    </row>
    <row r="38" spans="1:53" s="114" customFormat="1" ht="18.75" customHeight="1">
      <c r="AU38" s="114" t="s">
        <v>290</v>
      </c>
    </row>
  </sheetData>
  <protectedRanges>
    <protectedRange sqref="I17:J36" name="範囲2"/>
    <protectedRange sqref="L4:U4 C17:G36 K17:L36 N17:N36 P17:Q36 S17:S36 Y17:AD36" name="範囲1"/>
  </protectedRanges>
  <mergeCells count="10">
    <mergeCell ref="C6:D6"/>
    <mergeCell ref="B12:B13"/>
    <mergeCell ref="C3:D3"/>
    <mergeCell ref="C4:D4"/>
    <mergeCell ref="C5:D5"/>
    <mergeCell ref="L7:M8"/>
    <mergeCell ref="N7:O7"/>
    <mergeCell ref="P7:Q7"/>
    <mergeCell ref="L9:M9"/>
    <mergeCell ref="R7:U9"/>
  </mergeCells>
  <phoneticPr fontId="2"/>
  <conditionalFormatting sqref="E15">
    <cfRule type="expression" dxfId="56" priority="3">
      <formula>D15&lt;&gt;"給湯器（ヒートポンプ）"</formula>
    </cfRule>
  </conditionalFormatting>
  <conditionalFormatting sqref="E17:E36">
    <cfRule type="expression" dxfId="55" priority="1">
      <formula>D17&lt;&gt;"給湯器（ヒートポンプ）"</formula>
    </cfRule>
  </conditionalFormatting>
  <conditionalFormatting sqref="F6:G6">
    <cfRule type="expression" dxfId="54" priority="21">
      <formula>$E$1="なし"</formula>
    </cfRule>
  </conditionalFormatting>
  <conditionalFormatting sqref="I6">
    <cfRule type="expression" dxfId="53" priority="22">
      <formula>$E$1="なし"</formula>
    </cfRule>
  </conditionalFormatting>
  <conditionalFormatting sqref="P9:Q10 N10:O10">
    <cfRule type="cellIs" dxfId="52" priority="5" operator="greaterThan">
      <formula>$O$9</formula>
    </cfRule>
  </conditionalFormatting>
  <conditionalFormatting sqref="R7">
    <cfRule type="cellIs" dxfId="51" priority="4" operator="notEqual">
      <formula>"ー"</formula>
    </cfRule>
  </conditionalFormatting>
  <conditionalFormatting sqref="AA15:AA16 AD16:AD36 AF16:AF36">
    <cfRule type="expression" dxfId="50" priority="17">
      <formula>$D$1="なし"</formula>
    </cfRule>
  </conditionalFormatting>
  <conditionalFormatting sqref="AA16:AB16 AB17:AB36">
    <cfRule type="expression" dxfId="49" priority="16">
      <formula>$D$1="なし"</formula>
    </cfRule>
  </conditionalFormatting>
  <conditionalFormatting sqref="AK16:AL16">
    <cfRule type="expression" dxfId="48" priority="19">
      <formula>$D$1="なし"</formula>
    </cfRule>
  </conditionalFormatting>
  <dataValidations count="4">
    <dataValidation type="list" allowBlank="1" showInputMessage="1" showErrorMessage="1" sqref="L15:L16 AC15:AC16" xr:uid="{632A5ACB-EEEB-4F80-8CB3-62D695F1D6B8}">
      <formula1>"　,t/h,kW"</formula1>
    </dataValidation>
    <dataValidation type="list" allowBlank="1" showInputMessage="1" showErrorMessage="1" sqref="D16" xr:uid="{9981C71D-75FE-46A5-AE53-20A48DAB9109}">
      <formula1>"ボイラー,給湯器（加熱式）,給湯器（HP）"</formula1>
    </dataValidation>
    <dataValidation type="list" allowBlank="1" showInputMessage="1" showErrorMessage="1" sqref="AC16:AC36 L16:L36" xr:uid="{7875EEF1-DD7F-47B8-BAE7-7DF297E8B856}">
      <formula1>"t/h,kW"</formula1>
    </dataValidation>
    <dataValidation type="list" allowBlank="1" showInputMessage="1" showErrorMessage="1" sqref="D15 D17:D36" xr:uid="{2EE73C34-9DF2-400E-9F08-23F0959B14DF}">
      <formula1>"ボイラー,給湯器（加熱式）,給湯器（ヒートポンプ）"</formula1>
    </dataValidation>
  </dataValidations>
  <pageMargins left="0.70866141732283472" right="0.70866141732283472" top="0.74803149606299213" bottom="0.74803149606299213" header="0.31496062992125984" footer="0.31496062992125984"/>
  <pageSetup paperSize="8" scale="41" fitToHeight="0" orientation="landscape" r:id="rId1"/>
  <colBreaks count="1" manualBreakCount="1">
    <brk id="53" max="1048575" man="1"/>
  </colBreaks>
  <ignoredErrors>
    <ignoredError sqref="M18:M25 M26:M36" unlockedFormula="1"/>
    <ignoredError sqref="H5:I5"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8C90671-6B8E-4414-ADEC-0E071CD79D23}">
          <x14:formula1>
            <xm:f>'(参考)排出係数'!$B$3:$B$14</xm:f>
          </x14:formula1>
          <xm:sqref>AA17:AA36 G17:G36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5D712-7EBB-4C5B-94FA-463D34BA2C58}">
  <sheetPr codeName="Sheet10"/>
  <dimension ref="A1:AJ37"/>
  <sheetViews>
    <sheetView zoomScaleNormal="100" zoomScaleSheetLayoutView="59" workbookViewId="0">
      <pane ySplit="1" topLeftCell="A2" activePane="bottomLeft" state="frozen"/>
      <selection pane="bottomLeft" activeCell="A2" sqref="A2"/>
    </sheetView>
  </sheetViews>
  <sheetFormatPr defaultColWidth="9" defaultRowHeight="13"/>
  <cols>
    <col min="1" max="1" width="3.58203125" style="112" customWidth="1"/>
    <col min="2" max="2" width="7.58203125" style="112" customWidth="1"/>
    <col min="3" max="6" width="10.58203125" style="112" customWidth="1"/>
    <col min="7" max="7" width="10.58203125" style="134" customWidth="1"/>
    <col min="8" max="12" width="10.58203125" style="112" customWidth="1"/>
    <col min="13" max="13" width="6.58203125" style="112" customWidth="1"/>
    <col min="14" max="28" width="10.58203125" style="112" customWidth="1"/>
    <col min="29" max="29" width="6.58203125" style="112" customWidth="1"/>
    <col min="30" max="34" width="10.58203125" style="112" customWidth="1"/>
    <col min="35" max="16384" width="9" style="112"/>
  </cols>
  <sheetData>
    <row r="1" spans="1:36" s="114" customFormat="1" ht="30" customHeight="1">
      <c r="A1" s="163" t="s">
        <v>1066</v>
      </c>
      <c r="B1" s="164"/>
      <c r="C1" s="164"/>
      <c r="D1" s="164"/>
      <c r="E1" s="164"/>
      <c r="F1" s="164"/>
      <c r="G1" s="165"/>
      <c r="H1" s="164"/>
      <c r="I1" s="166"/>
      <c r="J1" s="164"/>
      <c r="K1" s="164"/>
      <c r="L1" s="167"/>
      <c r="M1" s="164"/>
      <c r="N1" s="164"/>
      <c r="O1" s="164"/>
      <c r="P1" s="164"/>
      <c r="Q1" s="164"/>
      <c r="R1" s="164"/>
      <c r="S1" s="164"/>
      <c r="T1" s="164"/>
      <c r="U1" s="164"/>
      <c r="V1" s="164"/>
      <c r="W1" s="164"/>
      <c r="X1" s="164"/>
      <c r="Y1" s="164"/>
      <c r="Z1" s="164"/>
      <c r="AA1" s="164"/>
      <c r="AB1" s="164"/>
      <c r="AC1" s="164"/>
      <c r="AD1" s="164"/>
      <c r="AE1" s="164"/>
      <c r="AF1" s="164"/>
      <c r="AG1" s="164"/>
      <c r="AH1" s="164"/>
      <c r="AI1" s="164"/>
      <c r="AJ1" s="164"/>
    </row>
    <row r="2" spans="1:36" s="354" customFormat="1" ht="18.75" customHeight="1">
      <c r="A2" s="352"/>
      <c r="B2" s="352"/>
      <c r="C2" s="352"/>
      <c r="D2" s="352"/>
      <c r="E2" s="352"/>
      <c r="F2" s="352"/>
      <c r="G2" s="308"/>
      <c r="H2" s="352"/>
      <c r="I2" s="352"/>
      <c r="J2" s="352"/>
      <c r="K2" s="352"/>
      <c r="L2" s="375"/>
      <c r="M2" s="352"/>
      <c r="N2" s="352"/>
      <c r="O2" s="352"/>
      <c r="P2" s="352"/>
      <c r="Q2" s="352"/>
      <c r="R2" s="352"/>
      <c r="S2" s="352"/>
      <c r="T2" s="352"/>
      <c r="U2" s="352"/>
      <c r="V2" s="352"/>
      <c r="W2" s="352"/>
      <c r="X2" s="352"/>
      <c r="Y2" s="352"/>
      <c r="Z2" s="352"/>
      <c r="AA2" s="352"/>
      <c r="AB2" s="352"/>
      <c r="AC2" s="352"/>
      <c r="AD2" s="352"/>
      <c r="AE2" s="352"/>
      <c r="AF2" s="352"/>
      <c r="AG2" s="352"/>
      <c r="AH2" s="352"/>
      <c r="AI2" s="352"/>
      <c r="AJ2" s="352"/>
    </row>
    <row r="3" spans="1:36" s="354" customFormat="1" ht="18.75" customHeight="1">
      <c r="A3" s="352"/>
      <c r="B3" s="352"/>
      <c r="C3" s="1835" t="s">
        <v>197</v>
      </c>
      <c r="D3" s="1836"/>
      <c r="E3" s="117" t="s">
        <v>198</v>
      </c>
      <c r="F3" s="117" t="s">
        <v>199</v>
      </c>
      <c r="G3" s="117" t="s">
        <v>200</v>
      </c>
      <c r="H3" s="117" t="s">
        <v>201</v>
      </c>
      <c r="I3" s="355" t="s">
        <v>202</v>
      </c>
      <c r="J3" s="352"/>
      <c r="K3" s="352"/>
      <c r="L3" s="96" t="s">
        <v>674</v>
      </c>
      <c r="M3" s="437"/>
      <c r="N3" s="437"/>
      <c r="O3" s="437"/>
      <c r="P3" s="437"/>
      <c r="Q3" s="437"/>
      <c r="R3" s="437"/>
      <c r="S3" s="437"/>
      <c r="T3" s="437"/>
      <c r="U3" s="97"/>
      <c r="V3" s="352"/>
      <c r="W3" s="352"/>
      <c r="X3" s="352"/>
      <c r="Y3" s="352"/>
      <c r="Z3" s="352"/>
      <c r="AA3" s="352"/>
      <c r="AB3" s="352"/>
      <c r="AC3" s="352"/>
      <c r="AD3" s="352"/>
      <c r="AE3" s="352"/>
      <c r="AF3" s="352"/>
      <c r="AG3" s="352"/>
      <c r="AH3" s="352"/>
      <c r="AI3" s="352"/>
      <c r="AJ3" s="352"/>
    </row>
    <row r="4" spans="1:36" s="354" customFormat="1" ht="18.75" customHeight="1">
      <c r="A4" s="352"/>
      <c r="B4" s="352"/>
      <c r="C4" s="1837" t="s">
        <v>291</v>
      </c>
      <c r="D4" s="1838"/>
      <c r="E4" s="117" t="s">
        <v>204</v>
      </c>
      <c r="F4" s="376">
        <f>Q15</f>
        <v>0</v>
      </c>
      <c r="G4" s="376">
        <f>AE15</f>
        <v>0</v>
      </c>
      <c r="H4" s="376">
        <f>F4-G4</f>
        <v>0</v>
      </c>
      <c r="I4" s="913">
        <f>IFERROR(H4/F4,0)</f>
        <v>0</v>
      </c>
      <c r="J4" s="352"/>
      <c r="K4" s="352"/>
      <c r="L4" s="431"/>
      <c r="M4" s="432"/>
      <c r="N4" s="432"/>
      <c r="O4" s="432"/>
      <c r="P4" s="432"/>
      <c r="Q4" s="432"/>
      <c r="R4" s="432"/>
      <c r="S4" s="432"/>
      <c r="T4" s="432"/>
      <c r="U4" s="433"/>
      <c r="V4" s="352"/>
      <c r="W4" s="352"/>
      <c r="X4" s="352"/>
      <c r="Y4" s="352"/>
      <c r="Z4" s="352"/>
      <c r="AA4" s="352"/>
      <c r="AB4" s="352"/>
      <c r="AC4" s="352"/>
      <c r="AD4" s="352"/>
      <c r="AE4" s="352"/>
      <c r="AF4" s="352"/>
      <c r="AG4" s="352"/>
      <c r="AH4" s="352"/>
    </row>
    <row r="5" spans="1:36" s="354" customFormat="1" ht="18.75" customHeight="1">
      <c r="A5" s="352"/>
      <c r="B5" s="352"/>
      <c r="C5" s="1837" t="s">
        <v>231</v>
      </c>
      <c r="D5" s="1838"/>
      <c r="E5" s="356" t="s">
        <v>374</v>
      </c>
      <c r="F5" s="909">
        <f>R15</f>
        <v>0</v>
      </c>
      <c r="G5" s="909">
        <f>AF15</f>
        <v>0</v>
      </c>
      <c r="H5" s="909">
        <f>F5-G5</f>
        <v>0</v>
      </c>
      <c r="I5" s="913">
        <f>IFERROR(H5/F5,0)</f>
        <v>0</v>
      </c>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row>
    <row r="6" spans="1:36" s="354" customFormat="1" ht="18.75" customHeight="1">
      <c r="A6" s="352"/>
      <c r="B6" s="352"/>
      <c r="C6" s="1837" t="s">
        <v>232</v>
      </c>
      <c r="D6" s="1838"/>
      <c r="E6" s="117" t="s">
        <v>208</v>
      </c>
      <c r="F6" s="743">
        <f>F4*【共通】事業所の光熱費!$H$6</f>
        <v>0</v>
      </c>
      <c r="G6" s="743">
        <f>G4*【共通】事業所の光熱費!$H$6</f>
        <v>0</v>
      </c>
      <c r="H6" s="743">
        <f>IF(OR(F6="－",G6="－"),"－",F6-G6)</f>
        <v>0</v>
      </c>
      <c r="I6" s="913">
        <f>IFERROR(H6/F6,0)</f>
        <v>0</v>
      </c>
      <c r="J6" s="352"/>
      <c r="K6" s="352"/>
      <c r="L6" s="96" t="s">
        <v>669</v>
      </c>
      <c r="M6" s="444"/>
      <c r="N6" s="444"/>
      <c r="O6" s="444"/>
      <c r="P6" s="444"/>
      <c r="Q6" s="444"/>
      <c r="R6" s="444"/>
      <c r="S6" s="444"/>
      <c r="T6" s="444"/>
      <c r="U6" s="116"/>
      <c r="W6" s="352"/>
      <c r="X6" s="352"/>
      <c r="Y6" s="352"/>
      <c r="Z6" s="352"/>
      <c r="AA6" s="352"/>
      <c r="AB6" s="352"/>
      <c r="AC6" s="352"/>
      <c r="AD6" s="352"/>
      <c r="AF6" s="352"/>
      <c r="AG6" s="352"/>
      <c r="AH6" s="352"/>
    </row>
    <row r="7" spans="1:36" s="354" customFormat="1" ht="18.75" customHeight="1">
      <c r="A7" s="352"/>
      <c r="B7" s="352"/>
      <c r="C7" s="1832" t="s">
        <v>627</v>
      </c>
      <c r="D7" s="1833"/>
      <c r="E7" s="117" t="s">
        <v>209</v>
      </c>
      <c r="F7" s="512">
        <f>F4*'(参考)排出係数'!$C$3*0.0000258</f>
        <v>0</v>
      </c>
      <c r="G7" s="512">
        <f>G4*'(参考)排出係数'!$C$3*0.0000258</f>
        <v>0</v>
      </c>
      <c r="H7" s="511">
        <f>F7-G7</f>
        <v>0</v>
      </c>
      <c r="I7" s="913">
        <f t="shared" ref="I7" si="0">IFERROR(H7/F7,0)</f>
        <v>0</v>
      </c>
      <c r="J7" s="352"/>
      <c r="K7" s="352"/>
      <c r="L7" s="286" t="str">
        <f>IF(OR(H15=0,X15=0),"",IF(H15=X15,"なし",IF(H15&gt;X15,"減少","増加")))</f>
        <v/>
      </c>
      <c r="M7" s="434" t="str">
        <f>IF(OR(L7="",L7="なし"),"－",IF(L7="減少","減少する理由を特記事項欄に記載してください。","やむを得ず増加する場合は特記事項欄に理由を記載してください。"))</f>
        <v>－</v>
      </c>
      <c r="N7" s="435"/>
      <c r="O7" s="435"/>
      <c r="P7" s="435"/>
      <c r="Q7" s="435"/>
      <c r="R7" s="435"/>
      <c r="S7" s="435"/>
      <c r="T7" s="435"/>
      <c r="U7" s="436"/>
      <c r="V7" s="33"/>
      <c r="W7" s="352"/>
      <c r="X7" s="352"/>
      <c r="Y7" s="352"/>
      <c r="Z7" s="352"/>
      <c r="AA7" s="352"/>
      <c r="AB7" s="352"/>
      <c r="AC7" s="352"/>
      <c r="AD7" s="352"/>
      <c r="AE7" s="352"/>
      <c r="AF7" s="352"/>
      <c r="AG7" s="352"/>
      <c r="AH7" s="352"/>
    </row>
    <row r="8" spans="1:36" s="354" customFormat="1" ht="18.75" customHeight="1">
      <c r="A8" s="352"/>
      <c r="B8" s="353"/>
      <c r="C8" s="33" t="s">
        <v>376</v>
      </c>
      <c r="D8" s="352"/>
      <c r="E8" s="352"/>
      <c r="F8" s="352"/>
      <c r="G8" s="308"/>
      <c r="H8" s="352"/>
      <c r="I8" s="352"/>
      <c r="J8" s="352"/>
      <c r="K8" s="352"/>
      <c r="L8" s="33"/>
      <c r="M8" s="352"/>
      <c r="N8" s="352"/>
      <c r="O8" s="352"/>
      <c r="P8" s="352"/>
      <c r="Q8" s="353"/>
      <c r="R8" s="352"/>
      <c r="S8" s="352"/>
      <c r="T8" s="352"/>
      <c r="U8" s="352"/>
      <c r="V8" s="352"/>
      <c r="W8" s="352"/>
      <c r="X8" s="352"/>
      <c r="Y8" s="352"/>
      <c r="AA8" s="352"/>
      <c r="AB8" s="352"/>
      <c r="AC8" s="352"/>
      <c r="AD8" s="352"/>
      <c r="AE8" s="352"/>
      <c r="AF8" s="352"/>
      <c r="AG8" s="352"/>
      <c r="AH8" s="352"/>
      <c r="AI8" s="352"/>
      <c r="AJ8" s="352"/>
    </row>
    <row r="9" spans="1:36" s="354" customFormat="1" ht="18.75" customHeight="1">
      <c r="A9" s="352"/>
      <c r="B9" s="353"/>
      <c r="C9" s="33"/>
      <c r="D9" s="352"/>
      <c r="E9" s="352"/>
      <c r="F9" s="352"/>
      <c r="G9" s="308"/>
      <c r="H9" s="352"/>
      <c r="I9" s="352"/>
      <c r="J9" s="352"/>
      <c r="K9" s="352"/>
      <c r="L9" s="352"/>
      <c r="M9" s="352"/>
      <c r="N9" s="352"/>
      <c r="O9" s="352"/>
      <c r="P9" s="352"/>
      <c r="Q9" s="353"/>
      <c r="R9" s="352"/>
      <c r="S9" s="352"/>
      <c r="T9" s="352"/>
      <c r="U9" s="352"/>
      <c r="V9" s="352"/>
      <c r="W9" s="352"/>
      <c r="X9" s="352"/>
      <c r="Y9" s="352"/>
      <c r="AA9" s="352"/>
      <c r="AB9" s="352"/>
      <c r="AC9" s="352"/>
      <c r="AD9" s="352"/>
      <c r="AE9" s="352"/>
      <c r="AF9" s="352"/>
      <c r="AG9" s="352"/>
      <c r="AH9" s="352"/>
      <c r="AI9" s="352"/>
      <c r="AJ9" s="352"/>
    </row>
    <row r="10" spans="1:36" s="354" customFormat="1" ht="18.75" customHeight="1">
      <c r="A10" s="352"/>
      <c r="B10" s="353"/>
      <c r="C10" s="439" t="s">
        <v>43</v>
      </c>
      <c r="D10" s="440" t="s">
        <v>668</v>
      </c>
      <c r="E10" s="441" t="s">
        <v>723</v>
      </c>
      <c r="F10" s="353"/>
      <c r="G10" s="353"/>
      <c r="H10" s="353"/>
      <c r="I10" s="353"/>
      <c r="J10" s="353"/>
      <c r="K10" s="353"/>
      <c r="L10" s="353"/>
      <c r="M10" s="353"/>
      <c r="N10" s="353"/>
      <c r="O10" s="352"/>
      <c r="P10" s="352"/>
      <c r="Q10" s="353"/>
      <c r="R10" s="352"/>
      <c r="S10" s="352"/>
      <c r="T10" s="352"/>
      <c r="U10" s="352"/>
      <c r="V10" s="352"/>
      <c r="W10" s="352"/>
      <c r="X10" s="352" t="s">
        <v>707</v>
      </c>
      <c r="Y10" s="352"/>
      <c r="Z10" s="352"/>
      <c r="AA10" s="352"/>
      <c r="AB10" s="352" t="s">
        <v>708</v>
      </c>
      <c r="AC10" s="352"/>
      <c r="AD10" s="352"/>
      <c r="AE10" s="352"/>
      <c r="AF10" s="352"/>
      <c r="AG10" s="352"/>
      <c r="AH10" s="352"/>
      <c r="AI10" s="352"/>
      <c r="AJ10" s="352"/>
    </row>
    <row r="11" spans="1:36" s="354" customFormat="1" ht="18.75" customHeight="1">
      <c r="A11" s="352"/>
      <c r="B11" s="1834" t="s">
        <v>337</v>
      </c>
      <c r="C11" s="291" t="s">
        <v>199</v>
      </c>
      <c r="D11" s="292"/>
      <c r="E11" s="292"/>
      <c r="F11" s="292"/>
      <c r="G11" s="292"/>
      <c r="H11" s="377"/>
      <c r="I11" s="292"/>
      <c r="J11" s="292"/>
      <c r="K11" s="292"/>
      <c r="L11" s="292"/>
      <c r="M11" s="292"/>
      <c r="N11" s="292"/>
      <c r="O11" s="292"/>
      <c r="P11" s="292"/>
      <c r="Q11" s="292"/>
      <c r="R11" s="293"/>
      <c r="S11" s="357" t="s">
        <v>200</v>
      </c>
      <c r="T11" s="358"/>
      <c r="U11" s="358"/>
      <c r="V11" s="358"/>
      <c r="W11" s="358"/>
      <c r="X11" s="358"/>
      <c r="Y11" s="358"/>
      <c r="Z11" s="358"/>
      <c r="AA11" s="358"/>
      <c r="AB11" s="358"/>
      <c r="AC11" s="358"/>
      <c r="AD11" s="358"/>
      <c r="AE11" s="358"/>
      <c r="AF11" s="359"/>
      <c r="AG11" s="360" t="s">
        <v>210</v>
      </c>
      <c r="AH11" s="361"/>
      <c r="AI11" s="352"/>
      <c r="AJ11" s="352"/>
    </row>
    <row r="12" spans="1:36" s="378" customFormat="1" ht="45" customHeight="1">
      <c r="A12" s="308"/>
      <c r="B12" s="1842"/>
      <c r="C12" s="125" t="s">
        <v>223</v>
      </c>
      <c r="D12" s="125" t="s">
        <v>338</v>
      </c>
      <c r="E12" s="125" t="s">
        <v>292</v>
      </c>
      <c r="F12" s="1843" t="s">
        <v>293</v>
      </c>
      <c r="G12" s="1844"/>
      <c r="H12" s="125" t="s">
        <v>339</v>
      </c>
      <c r="I12" s="125" t="s">
        <v>294</v>
      </c>
      <c r="J12" s="125" t="s">
        <v>340</v>
      </c>
      <c r="K12" s="125" t="s">
        <v>295</v>
      </c>
      <c r="L12" s="125" t="s">
        <v>341</v>
      </c>
      <c r="M12" s="125" t="s">
        <v>296</v>
      </c>
      <c r="N12" s="125" t="s">
        <v>244</v>
      </c>
      <c r="O12" s="125" t="s">
        <v>342</v>
      </c>
      <c r="P12" s="125" t="s">
        <v>343</v>
      </c>
      <c r="Q12" s="125" t="s">
        <v>213</v>
      </c>
      <c r="R12" s="125" t="s">
        <v>314</v>
      </c>
      <c r="S12" s="131" t="s">
        <v>223</v>
      </c>
      <c r="T12" s="131" t="s">
        <v>344</v>
      </c>
      <c r="U12" s="131" t="s">
        <v>292</v>
      </c>
      <c r="V12" s="1845" t="s">
        <v>293</v>
      </c>
      <c r="W12" s="1846"/>
      <c r="X12" s="131" t="s">
        <v>346</v>
      </c>
      <c r="Y12" s="131" t="s">
        <v>294</v>
      </c>
      <c r="Z12" s="131" t="s">
        <v>347</v>
      </c>
      <c r="AA12" s="131" t="s">
        <v>297</v>
      </c>
      <c r="AB12" s="131" t="s">
        <v>298</v>
      </c>
      <c r="AC12" s="131" t="s">
        <v>296</v>
      </c>
      <c r="AD12" s="131" t="s">
        <v>369</v>
      </c>
      <c r="AE12" s="131" t="s">
        <v>299</v>
      </c>
      <c r="AF12" s="131" t="s">
        <v>300</v>
      </c>
      <c r="AG12" s="120" t="s">
        <v>604</v>
      </c>
      <c r="AH12" s="120" t="s">
        <v>605</v>
      </c>
      <c r="AI12" s="308"/>
      <c r="AJ12" s="308"/>
    </row>
    <row r="13" spans="1:36" s="378" customFormat="1" ht="18.75" customHeight="1">
      <c r="A13" s="308"/>
      <c r="B13" s="290" t="s">
        <v>198</v>
      </c>
      <c r="C13" s="290"/>
      <c r="D13" s="290"/>
      <c r="E13" s="290"/>
      <c r="F13" s="1847"/>
      <c r="G13" s="1848"/>
      <c r="H13" s="290" t="s">
        <v>303</v>
      </c>
      <c r="I13" s="290"/>
      <c r="J13" s="290" t="s">
        <v>304</v>
      </c>
      <c r="K13" s="290" t="s">
        <v>305</v>
      </c>
      <c r="L13" s="290"/>
      <c r="M13" s="290"/>
      <c r="N13" s="290"/>
      <c r="O13" s="290"/>
      <c r="P13" s="290" t="s">
        <v>306</v>
      </c>
      <c r="Q13" s="290" t="s">
        <v>204</v>
      </c>
      <c r="R13" s="125" t="s">
        <v>374</v>
      </c>
      <c r="S13" s="131"/>
      <c r="T13" s="362"/>
      <c r="U13" s="362"/>
      <c r="V13" s="1849"/>
      <c r="W13" s="1850"/>
      <c r="X13" s="362"/>
      <c r="Y13" s="362"/>
      <c r="Z13" s="362"/>
      <c r="AA13" s="362" t="s">
        <v>305</v>
      </c>
      <c r="AB13" s="362"/>
      <c r="AC13" s="362"/>
      <c r="AD13" s="362" t="s">
        <v>306</v>
      </c>
      <c r="AE13" s="362" t="s">
        <v>204</v>
      </c>
      <c r="AF13" s="131" t="s">
        <v>374</v>
      </c>
      <c r="AG13" s="117" t="s">
        <v>204</v>
      </c>
      <c r="AH13" s="120" t="s">
        <v>374</v>
      </c>
      <c r="AI13" s="308"/>
      <c r="AJ13" s="308"/>
    </row>
    <row r="14" spans="1:36" s="375" customFormat="1" ht="18.75" customHeight="1" thickBot="1">
      <c r="A14" s="353"/>
      <c r="B14" s="940" t="s">
        <v>255</v>
      </c>
      <c r="C14" s="936" t="s">
        <v>307</v>
      </c>
      <c r="D14" s="1195">
        <v>2</v>
      </c>
      <c r="E14" s="1196" t="s">
        <v>308</v>
      </c>
      <c r="F14" s="1851" t="str">
        <f>IF(E14="IE1","標準効率",IF(E14="IE2","高効率",IF(E14="IE3","プレミアム効率",IF(E14="IE4","スーパープレミアム効率",""))))</f>
        <v>高効率</v>
      </c>
      <c r="G14" s="1852"/>
      <c r="H14" s="1196">
        <v>7.5</v>
      </c>
      <c r="I14" s="1196" t="s">
        <v>309</v>
      </c>
      <c r="J14" s="1197">
        <f>IF(I14="2極",AVERAGEIFS('(参考)モーター効率'!$C$2:$C$122,'(参考)モーター効率'!$A$2:$A$122,E14,'(参考)モーター効率'!$B$2:$B$122,H14),IF(I14="4極",AVERAGEIFS('(参考)モーター効率'!$D$2:$D$122,'(参考)モーター効率'!$A$2:$A$122,E14,'(参考)モーター効率'!$B$2:$B$122,H14),IF(I14="6極",AVERAGEIFS('(参考)モーター効率'!$E$2:$E$122,'(参考)モーター効率'!$A$2:$A$122,E14,'(参考)モーター効率'!$B$2:$B$122,H14),IF(I14="8極",AVERAGEIFS('(参考)モーター効率'!$F$2:$F$122,'(参考)モーター効率'!$A$2:$A$122,E14,'(参考)モーター効率'!$B$2:$B$122,H14),""))))</f>
        <v>0.88700000000000001</v>
      </c>
      <c r="K14" s="1185">
        <f>IF(J14="","",H14/J14)</f>
        <v>8.4554678692220975</v>
      </c>
      <c r="L14" s="1198">
        <v>0.8</v>
      </c>
      <c r="M14" s="1196"/>
      <c r="N14" s="1187">
        <v>8</v>
      </c>
      <c r="O14" s="935">
        <v>320</v>
      </c>
      <c r="P14" s="1199">
        <f>IF(OR(N14="", O14=""), "", N14*O14)</f>
        <v>2560</v>
      </c>
      <c r="Q14" s="1188">
        <f>IF(AND(D14="",K14="",L14="",P14=""),"",IF(M14="○",D14*K14*L14^2*P14,K14*L14*P14*D14))</f>
        <v>34633.596392333711</v>
      </c>
      <c r="R14" s="1185">
        <f>IF('6)モーター'!Q14="","",Q14*'(参考)排出係数'!$F$3)</f>
        <v>14892.446448703495</v>
      </c>
      <c r="S14" s="936" t="s">
        <v>311</v>
      </c>
      <c r="T14" s="1195">
        <v>2</v>
      </c>
      <c r="U14" s="1196" t="s">
        <v>312</v>
      </c>
      <c r="V14" s="1851" t="str">
        <f>IF(U14="IE1","標準効率",IF(U14="IE2","高効率",IF(U14="IE3","プレミアム効率",IF(U14="IE4","スーパープレミアム効率",""))))</f>
        <v>プレミアム効率</v>
      </c>
      <c r="W14" s="1852"/>
      <c r="X14" s="950">
        <v>7.5</v>
      </c>
      <c r="Y14" s="1196" t="s">
        <v>309</v>
      </c>
      <c r="Z14" s="1197">
        <f>IF(Y14="2極",AVERAGEIFS('(参考)モーター効率'!$C$2:$C$122,'(参考)モーター効率'!$A$2:$A$122,U14,'(参考)モーター効率'!$B$2:$B$122,X14),IF(Y14="4極",AVERAGEIFS('(参考)モーター効率'!$D$2:$D$122,'(参考)モーター効率'!$A$2:$A$122,U14,'(参考)モーター効率'!$B$2:$B$122,X14),IF(Y14="6極",AVERAGEIFS('(参考)モーター効率'!$E$2:$E$122,'(参考)モーター効率'!$A$2:$A$122,U14,'(参考)モーター効率'!$B$2:$B$122,X14),IF(Y14="8極",AVERAGEIFS('(参考)モーター効率'!$F$2:$F$122,'(参考)モーター効率'!$A$2:$A$122,U14,'(参考)モーター効率'!$B$2:$B$122,X14),""))))</f>
        <v>0.90400000000000003</v>
      </c>
      <c r="AA14" s="1185">
        <f>IF(Z14="","",X14/Z14)</f>
        <v>8.2964601769911503</v>
      </c>
      <c r="AB14" s="1200">
        <f>IF(OR(H14=0,L14=0,X14=0),"",IF(H14&lt;X14,H14*L14/X14,L14))</f>
        <v>0.8</v>
      </c>
      <c r="AC14" s="1196" t="s">
        <v>313</v>
      </c>
      <c r="AD14" s="1199">
        <f>IF(P14="","",P14)</f>
        <v>2560</v>
      </c>
      <c r="AE14" s="1188">
        <f>IF(AND(T14="",AA14="",AB14="",AD14=""),"",IF(AC14="○",T14*AA14*AB14^2*AD14,T14*AA14*AB14*AD14))</f>
        <v>27185.840707964606</v>
      </c>
      <c r="AF14" s="1191">
        <f>IF(AE14="","",AE14*'(参考)排出係数'!$F$3)</f>
        <v>11689.911504424781</v>
      </c>
      <c r="AG14" s="1188">
        <f>IF(OR(Q14="",AE14=""),"",Q14-AE14)</f>
        <v>7447.7556843691054</v>
      </c>
      <c r="AH14" s="1191">
        <f>IF(OR(R14="",AF14=""),"",R14-AF14)</f>
        <v>3202.5349442787137</v>
      </c>
      <c r="AI14" s="353"/>
      <c r="AJ14" s="353"/>
    </row>
    <row r="15" spans="1:36" s="354" customFormat="1" ht="18.75" customHeight="1" thickTop="1" thickBot="1">
      <c r="A15" s="352"/>
      <c r="B15" s="932" t="s">
        <v>224</v>
      </c>
      <c r="C15" s="938"/>
      <c r="D15" s="1201">
        <f>SUM(D16:D35)</f>
        <v>0</v>
      </c>
      <c r="E15" s="1182"/>
      <c r="F15" s="1839"/>
      <c r="G15" s="1839"/>
      <c r="H15" s="1201" cm="1">
        <f t="array" ref="H15">SUMPRODUCT(D16:D35*H$16:H$35)</f>
        <v>0</v>
      </c>
      <c r="I15" s="1182"/>
      <c r="J15" s="1182"/>
      <c r="K15" s="1186"/>
      <c r="L15" s="1182"/>
      <c r="M15" s="1182"/>
      <c r="N15" s="1186"/>
      <c r="O15" s="1182"/>
      <c r="P15" s="1202">
        <f>SUM(P16:P35)</f>
        <v>0</v>
      </c>
      <c r="Q15" s="1137">
        <f>SUM(Q16:Q35)</f>
        <v>0</v>
      </c>
      <c r="R15" s="934">
        <f>SUM(R16:R35)</f>
        <v>0</v>
      </c>
      <c r="S15" s="938"/>
      <c r="T15" s="1201">
        <f>SUM(T16:T35)</f>
        <v>0</v>
      </c>
      <c r="U15" s="1182"/>
      <c r="V15" s="1839"/>
      <c r="W15" s="1839"/>
      <c r="X15" s="1201" cm="1">
        <f t="array" ref="X15">SUMPRODUCT(T16:T35*X$16:X$35)</f>
        <v>0</v>
      </c>
      <c r="Y15" s="1182"/>
      <c r="Z15" s="1182"/>
      <c r="AA15" s="1186"/>
      <c r="AB15" s="1182"/>
      <c r="AC15" s="1182"/>
      <c r="AD15" s="1202">
        <f>SUM(AD16:AD35)</f>
        <v>0</v>
      </c>
      <c r="AE15" s="1137">
        <f>SUM(AE16:AE35)</f>
        <v>0</v>
      </c>
      <c r="AF15" s="934">
        <f>SUM(AF16:AF35)</f>
        <v>0</v>
      </c>
      <c r="AG15" s="1137">
        <f>SUM(AG16:AG35)</f>
        <v>0</v>
      </c>
      <c r="AH15" s="1192">
        <f>SUM(AH16:AH35)</f>
        <v>0</v>
      </c>
      <c r="AI15" s="352"/>
      <c r="AJ15" s="352"/>
    </row>
    <row r="16" spans="1:36" s="354" customFormat="1" ht="18.75" customHeight="1" thickTop="1">
      <c r="A16" s="352"/>
      <c r="B16" s="931" t="s">
        <v>315</v>
      </c>
      <c r="C16" s="1144"/>
      <c r="D16" s="948"/>
      <c r="E16" s="1147"/>
      <c r="F16" s="1853" t="str">
        <f t="shared" ref="F16:F22" si="1">IF(E16="IE1","標準効率",IF(E16="IE2","高効率",IF(E16="IE3","プレミアム効率",IF(E16="IE4","スーパープレミアム効率",""))))</f>
        <v/>
      </c>
      <c r="G16" s="1854"/>
      <c r="H16" s="1203"/>
      <c r="I16" s="1147"/>
      <c r="J16" s="1204" t="str">
        <f>IF(I16="2極",AVERAGEIFS('(参考)モーター効率'!$C$2:$C$122,'(参考)モーター効率'!$A$2:$A$122,E16,'(参考)モーター効率'!$B$2:$B$122,H16),IF(I16="4極",AVERAGEIFS('(参考)モーター効率'!$D$2:$D$122,'(参考)モーター効率'!$A$2:$A$122,E16,'(参考)モーター効率'!$B$2:$B$122,H16),IF(I16="6極",AVERAGEIFS('(参考)モーター効率'!$E$2:$E$122,'(参考)モーター効率'!$A$2:$A$122,E16,'(参考)モーター効率'!$B$2:$B$122,H16),IF(I16="8極",AVERAGEIFS('(参考)モーター効率'!$F$2:$F$122,'(参考)モーター効率'!$A$2:$A$122,E16,'(参考)モーター効率'!$B$2:$B$122,H16),""))))</f>
        <v/>
      </c>
      <c r="K16" s="1138" t="str">
        <f t="shared" ref="K16:K22" si="2">IF(J16="","",H16/J16)</f>
        <v/>
      </c>
      <c r="L16" s="1205"/>
      <c r="M16" s="1147"/>
      <c r="N16" s="1134"/>
      <c r="O16" s="948"/>
      <c r="P16" s="1206" t="str">
        <f>IF(OR(N16="", O16=""), "", N16*O16)</f>
        <v/>
      </c>
      <c r="Q16" s="1189">
        <f>IF(OR(D16="",K16="",L16="",P16=""),0,IF(M16="○",D16*K16*L16^2*P16,D16*K16*L16*P16))</f>
        <v>0</v>
      </c>
      <c r="R16" s="1138">
        <f>IF('6)モーター'!Q16="","",Q16*'(参考)排出係数'!$F$3)</f>
        <v>0</v>
      </c>
      <c r="S16" s="1183"/>
      <c r="T16" s="948"/>
      <c r="U16" s="1147"/>
      <c r="V16" s="1853" t="str">
        <f t="shared" ref="V16:V20" si="3">IF(U16="IE1","標準効率",IF(U16="IE2","高効率",IF(U16="IE3","プレミアム効率",IF(U16="IE4","スーパープレミアム効率",""))))</f>
        <v/>
      </c>
      <c r="W16" s="1854"/>
      <c r="X16" s="1036"/>
      <c r="Y16" s="1147"/>
      <c r="Z16" s="1204" t="str">
        <f>IF(Y16="2極",AVERAGEIFS('(参考)モーター効率'!$C$2:$C$122,'(参考)モーター効率'!$A$2:$A$122,U16,'(参考)モーター効率'!$B$2:$B$122,X16),IF(Y16="4極",AVERAGEIFS('(参考)モーター効率'!$D$2:$D$122,'(参考)モーター効率'!$A$2:$A$122,U16,'(参考)モーター効率'!$B$2:$B$122,X16),IF(Y16="6極",AVERAGEIFS('(参考)モーター効率'!$E$2:$E$122,'(参考)モーター効率'!$A$2:$A$122,U16,'(参考)モーター効率'!$B$2:$B$122,X16),IF(Y16="8極",AVERAGEIFS('(参考)モーター効率'!$F$2:$F$122,'(参考)モーター効率'!$A$2:$A$122,U16,'(参考)モーター効率'!$B$2:$B$122,X16),""))))</f>
        <v/>
      </c>
      <c r="AA16" s="1138" t="str">
        <f>IF(Z16="","",X16/Z16)</f>
        <v/>
      </c>
      <c r="AB16" s="1207" t="str">
        <f t="shared" ref="AB16:AB24" si="4">IF(OR(H16=0,L16=0,X16=0),"",IF(H16&lt;X16,H16*L16/X16,L16))</f>
        <v/>
      </c>
      <c r="AC16" s="1147"/>
      <c r="AD16" s="1208" t="str">
        <f>IF(P16="","",P16)</f>
        <v/>
      </c>
      <c r="AE16" s="1189">
        <f>IF(OR(T16="",AA16="",AB16="",AD16=""),0,IF(AC16="○",T16*AA16*AB16^2*AD16,T16*AA16*AB16*AD16))</f>
        <v>0</v>
      </c>
      <c r="AF16" s="1193">
        <f>IF(AE16="","",AE16*'(参考)排出係数'!$F$3)</f>
        <v>0</v>
      </c>
      <c r="AG16" s="1189">
        <f>IF(OR(Q16="",AE16=""),"",Q16-AE16)</f>
        <v>0</v>
      </c>
      <c r="AH16" s="1138">
        <f t="shared" ref="AH16:AH24" si="5">IF(OR(R16="",AF16=""),"",R16-AF16)</f>
        <v>0</v>
      </c>
      <c r="AI16" s="352"/>
      <c r="AJ16" s="352"/>
    </row>
    <row r="17" spans="1:36" s="354" customFormat="1" ht="18.75" customHeight="1">
      <c r="A17" s="352"/>
      <c r="B17" s="373" t="s">
        <v>316</v>
      </c>
      <c r="C17" s="1145"/>
      <c r="D17" s="1041"/>
      <c r="E17" s="1148"/>
      <c r="F17" s="1840" t="str">
        <f t="shared" si="1"/>
        <v/>
      </c>
      <c r="G17" s="1841"/>
      <c r="H17" s="1209"/>
      <c r="I17" s="1148"/>
      <c r="J17" s="1210" t="str">
        <f>IF(I17="2極",AVERAGEIFS('(参考)モーター効率'!$C$2:$C$122,'(参考)モーター効率'!$A$2:$A$122,E17,'(参考)モーター効率'!$B$2:$B$122,H17),IF(I17="4極",AVERAGEIFS('(参考)モーター効率'!$D$2:$D$122,'(参考)モーター効率'!$A$2:$A$122,E17,'(参考)モーター効率'!$B$2:$B$122,H17),IF(I17="6極",AVERAGEIFS('(参考)モーター効率'!$E$2:$E$122,'(参考)モーター効率'!$A$2:$A$122,E17,'(参考)モーター効率'!$B$2:$B$122,H17),IF(I17="8極",AVERAGEIFS('(参考)モーター効率'!$F$2:$F$122,'(参考)モーター効率'!$A$2:$A$122,E17,'(参考)モーター効率'!$B$2:$B$122,H17),""))))</f>
        <v/>
      </c>
      <c r="K17" s="1139" t="str">
        <f t="shared" si="2"/>
        <v/>
      </c>
      <c r="L17" s="1211"/>
      <c r="M17" s="1148"/>
      <c r="N17" s="1135"/>
      <c r="O17" s="1041"/>
      <c r="P17" s="1212" t="str">
        <f t="shared" ref="P17:P35" si="6">IF(OR(N17="", O17=""), "", N17*O17)</f>
        <v/>
      </c>
      <c r="Q17" s="1190">
        <f t="shared" ref="Q17:Q24" si="7">IF(OR(D17="",K17="",L17="",P17=""),0,IF(M17="○",D17*K17*L17^2*P17,D17*K17*L17*P17))</f>
        <v>0</v>
      </c>
      <c r="R17" s="1139">
        <f>IF('6)モーター'!Q17="","",Q17*'(参考)排出係数'!$F$3)</f>
        <v>0</v>
      </c>
      <c r="S17" s="1184"/>
      <c r="T17" s="1041"/>
      <c r="U17" s="1148"/>
      <c r="V17" s="1840" t="str">
        <f t="shared" si="3"/>
        <v/>
      </c>
      <c r="W17" s="1841"/>
      <c r="X17" s="1042"/>
      <c r="Y17" s="1148"/>
      <c r="Z17" s="1210" t="str">
        <f>IF(Y17="2極",AVERAGEIFS('(参考)モーター効率'!$C$2:$C$122,'(参考)モーター効率'!$A$2:$A$122,U17,'(参考)モーター効率'!$B$2:$B$122,X17),IF(Y17="4極",AVERAGEIFS('(参考)モーター効率'!$D$2:$D$122,'(参考)モーター効率'!$A$2:$A$122,U17,'(参考)モーター効率'!$B$2:$B$122,X17),IF(Y17="6極",AVERAGEIFS('(参考)モーター効率'!$E$2:$E$122,'(参考)モーター効率'!$A$2:$A$122,U17,'(参考)モーター効率'!$B$2:$B$122,X17),IF(Y17="8極",AVERAGEIFS('(参考)モーター効率'!$F$2:$F$122,'(参考)モーター効率'!$A$2:$A$122,U17,'(参考)モーター効率'!$B$2:$B$122,X17),""))))</f>
        <v/>
      </c>
      <c r="AA17" s="1139" t="str">
        <f t="shared" ref="AA17:AA24" si="8">IF(Z17="","",X17/Z17)</f>
        <v/>
      </c>
      <c r="AB17" s="1213" t="str">
        <f t="shared" si="4"/>
        <v/>
      </c>
      <c r="AC17" s="1148"/>
      <c r="AD17" s="1214" t="str">
        <f>IF(P17="","",P17)</f>
        <v/>
      </c>
      <c r="AE17" s="1190">
        <f t="shared" ref="AE17:AE24" si="9">IF(OR(T17="",AA17="",AB17="",AD17=""),0,IF(AC17="○",T17*AA17*AB17^2*AD17,T17*AA17*AB17*AD17))</f>
        <v>0</v>
      </c>
      <c r="AF17" s="1194">
        <f>IF(AE17="","",AE17*'(参考)排出係数'!$F$3)</f>
        <v>0</v>
      </c>
      <c r="AG17" s="1190">
        <f t="shared" ref="AG17:AG24" si="10">IF(OR(Q17="",AE17=""),"",Q17-AE17)</f>
        <v>0</v>
      </c>
      <c r="AH17" s="1139">
        <f t="shared" si="5"/>
        <v>0</v>
      </c>
      <c r="AI17" s="352"/>
      <c r="AJ17" s="352"/>
    </row>
    <row r="18" spans="1:36" s="354" customFormat="1" ht="18.75" customHeight="1">
      <c r="A18" s="352"/>
      <c r="B18" s="373" t="s">
        <v>317</v>
      </c>
      <c r="C18" s="1145"/>
      <c r="D18" s="1041"/>
      <c r="E18" s="1148"/>
      <c r="F18" s="1840" t="str">
        <f t="shared" si="1"/>
        <v/>
      </c>
      <c r="G18" s="1841"/>
      <c r="H18" s="1209"/>
      <c r="I18" s="1148"/>
      <c r="J18" s="1210" t="str">
        <f>IF(I18="2極",AVERAGEIFS('(参考)モーター効率'!$C$2:$C$122,'(参考)モーター効率'!$A$2:$A$122,E18,'(参考)モーター効率'!$B$2:$B$122,H18),IF(I18="4極",AVERAGEIFS('(参考)モーター効率'!$D$2:$D$122,'(参考)モーター効率'!$A$2:$A$122,E18,'(参考)モーター効率'!$B$2:$B$122,H18),IF(I18="6極",AVERAGEIFS('(参考)モーター効率'!$E$2:$E$122,'(参考)モーター効率'!$A$2:$A$122,E18,'(参考)モーター効率'!$B$2:$B$122,H18),IF(I18="8極",AVERAGEIFS('(参考)モーター効率'!$F$2:$F$122,'(参考)モーター効率'!$A$2:$A$122,E18,'(参考)モーター効率'!$B$2:$B$122,H18),""))))</f>
        <v/>
      </c>
      <c r="K18" s="1139" t="str">
        <f t="shared" si="2"/>
        <v/>
      </c>
      <c r="L18" s="1211"/>
      <c r="M18" s="1148"/>
      <c r="N18" s="1135"/>
      <c r="O18" s="1041"/>
      <c r="P18" s="1212" t="str">
        <f t="shared" si="6"/>
        <v/>
      </c>
      <c r="Q18" s="1190">
        <f t="shared" si="7"/>
        <v>0</v>
      </c>
      <c r="R18" s="1139">
        <f>IF('6)モーター'!Q18="","",Q18*'(参考)排出係数'!$F$3)</f>
        <v>0</v>
      </c>
      <c r="S18" s="1184"/>
      <c r="T18" s="1041"/>
      <c r="U18" s="1148"/>
      <c r="V18" s="1840" t="str">
        <f t="shared" si="3"/>
        <v/>
      </c>
      <c r="W18" s="1841"/>
      <c r="X18" s="1042"/>
      <c r="Y18" s="1148"/>
      <c r="Z18" s="1210" t="str">
        <f>IF(Y18="2極",AVERAGEIFS('(参考)モーター効率'!$C$2:$C$122,'(参考)モーター効率'!$A$2:$A$122,U18,'(参考)モーター効率'!$B$2:$B$122,X18),IF(Y18="4極",AVERAGEIFS('(参考)モーター効率'!$D$2:$D$122,'(参考)モーター効率'!$A$2:$A$122,U18,'(参考)モーター効率'!$B$2:$B$122,X18),IF(Y18="6極",AVERAGEIFS('(参考)モーター効率'!$E$2:$E$122,'(参考)モーター効率'!$A$2:$A$122,U18,'(参考)モーター効率'!$B$2:$B$122,X18),IF(Y18="8極",AVERAGEIFS('(参考)モーター効率'!$F$2:$F$122,'(参考)モーター効率'!$A$2:$A$122,U18,'(参考)モーター効率'!$B$2:$B$122,X18),""))))</f>
        <v/>
      </c>
      <c r="AA18" s="1139" t="str">
        <f t="shared" si="8"/>
        <v/>
      </c>
      <c r="AB18" s="1213" t="str">
        <f t="shared" si="4"/>
        <v/>
      </c>
      <c r="AC18" s="1148"/>
      <c r="AD18" s="1214" t="str">
        <f t="shared" ref="AD18:AD24" si="11">IF(P18="","",P18)</f>
        <v/>
      </c>
      <c r="AE18" s="1190">
        <f t="shared" si="9"/>
        <v>0</v>
      </c>
      <c r="AF18" s="1194">
        <f>IF(AE18="","",AE18*'(参考)排出係数'!$F$3)</f>
        <v>0</v>
      </c>
      <c r="AG18" s="1190">
        <f t="shared" si="10"/>
        <v>0</v>
      </c>
      <c r="AH18" s="1139">
        <f t="shared" si="5"/>
        <v>0</v>
      </c>
      <c r="AI18" s="352"/>
      <c r="AJ18" s="352"/>
    </row>
    <row r="19" spans="1:36" s="354" customFormat="1" ht="18.75" customHeight="1">
      <c r="A19" s="352"/>
      <c r="B19" s="373" t="s">
        <v>318</v>
      </c>
      <c r="C19" s="1145"/>
      <c r="D19" s="1041"/>
      <c r="E19" s="1148"/>
      <c r="F19" s="1840" t="str">
        <f t="shared" si="1"/>
        <v/>
      </c>
      <c r="G19" s="1841"/>
      <c r="H19" s="1209"/>
      <c r="I19" s="1148"/>
      <c r="J19" s="1210" t="str">
        <f>IF(I19="2極",AVERAGEIFS('(参考)モーター効率'!$C$2:$C$122,'(参考)モーター効率'!$A$2:$A$122,E19,'(参考)モーター効率'!$B$2:$B$122,H19),IF(I19="4極",AVERAGEIFS('(参考)モーター効率'!$D$2:$D$122,'(参考)モーター効率'!$A$2:$A$122,E19,'(参考)モーター効率'!$B$2:$B$122,H19),IF(I19="6極",AVERAGEIFS('(参考)モーター効率'!$E$2:$E$122,'(参考)モーター効率'!$A$2:$A$122,E19,'(参考)モーター効率'!$B$2:$B$122,H19),IF(I19="8極",AVERAGEIFS('(参考)モーター効率'!$F$2:$F$122,'(参考)モーター効率'!$A$2:$A$122,E19,'(参考)モーター効率'!$B$2:$B$122,H19),""))))</f>
        <v/>
      </c>
      <c r="K19" s="1139" t="str">
        <f t="shared" si="2"/>
        <v/>
      </c>
      <c r="L19" s="1211"/>
      <c r="M19" s="1148"/>
      <c r="N19" s="1135"/>
      <c r="O19" s="1041"/>
      <c r="P19" s="1212" t="str">
        <f t="shared" si="6"/>
        <v/>
      </c>
      <c r="Q19" s="1190">
        <f t="shared" si="7"/>
        <v>0</v>
      </c>
      <c r="R19" s="1139">
        <f>IF('6)モーター'!Q19="","",Q19*'(参考)排出係数'!$F$3)</f>
        <v>0</v>
      </c>
      <c r="S19" s="1184"/>
      <c r="T19" s="1041"/>
      <c r="U19" s="1148"/>
      <c r="V19" s="1840" t="str">
        <f t="shared" si="3"/>
        <v/>
      </c>
      <c r="W19" s="1841"/>
      <c r="X19" s="1042"/>
      <c r="Y19" s="1148"/>
      <c r="Z19" s="1210" t="str">
        <f>IF(Y19="2極",AVERAGEIFS('(参考)モーター効率'!$C$2:$C$122,'(参考)モーター効率'!$A$2:$A$122,U19,'(参考)モーター効率'!$B$2:$B$122,X19),IF(Y19="4極",AVERAGEIFS('(参考)モーター効率'!$D$2:$D$122,'(参考)モーター効率'!$A$2:$A$122,U19,'(参考)モーター効率'!$B$2:$B$122,X19),IF(Y19="6極",AVERAGEIFS('(参考)モーター効率'!$E$2:$E$122,'(参考)モーター効率'!$A$2:$A$122,U19,'(参考)モーター効率'!$B$2:$B$122,X19),IF(Y19="8極",AVERAGEIFS('(参考)モーター効率'!$F$2:$F$122,'(参考)モーター効率'!$A$2:$A$122,U19,'(参考)モーター効率'!$B$2:$B$122,X19),""))))</f>
        <v/>
      </c>
      <c r="AA19" s="1139" t="str">
        <f t="shared" si="8"/>
        <v/>
      </c>
      <c r="AB19" s="1213" t="str">
        <f t="shared" si="4"/>
        <v/>
      </c>
      <c r="AC19" s="1148"/>
      <c r="AD19" s="1214" t="str">
        <f t="shared" si="11"/>
        <v/>
      </c>
      <c r="AE19" s="1190">
        <f t="shared" si="9"/>
        <v>0</v>
      </c>
      <c r="AF19" s="1194">
        <f>IF(AE19="","",AE19*'(参考)排出係数'!$F$3)</f>
        <v>0</v>
      </c>
      <c r="AG19" s="1190">
        <f t="shared" si="10"/>
        <v>0</v>
      </c>
      <c r="AH19" s="1139">
        <f t="shared" si="5"/>
        <v>0</v>
      </c>
      <c r="AI19" s="352"/>
      <c r="AJ19" s="352"/>
    </row>
    <row r="20" spans="1:36" s="354" customFormat="1" ht="18.75" customHeight="1">
      <c r="A20" s="352"/>
      <c r="B20" s="373" t="s">
        <v>319</v>
      </c>
      <c r="C20" s="1145"/>
      <c r="D20" s="1041"/>
      <c r="E20" s="1148"/>
      <c r="F20" s="1840" t="str">
        <f t="shared" si="1"/>
        <v/>
      </c>
      <c r="G20" s="1841"/>
      <c r="H20" s="1209"/>
      <c r="I20" s="1148"/>
      <c r="J20" s="1210" t="str">
        <f>IF(I20="2極",AVERAGEIFS('(参考)モーター効率'!$C$2:$C$122,'(参考)モーター効率'!$A$2:$A$122,E20,'(参考)モーター効率'!$B$2:$B$122,H20),IF(I20="4極",AVERAGEIFS('(参考)モーター効率'!$D$2:$D$122,'(参考)モーター効率'!$A$2:$A$122,E20,'(参考)モーター効率'!$B$2:$B$122,H20),IF(I20="6極",AVERAGEIFS('(参考)モーター効率'!$E$2:$E$122,'(参考)モーター効率'!$A$2:$A$122,E20,'(参考)モーター効率'!$B$2:$B$122,H20),IF(I20="8極",AVERAGEIFS('(参考)モーター効率'!$F$2:$F$122,'(参考)モーター効率'!$A$2:$A$122,E20,'(参考)モーター効率'!$B$2:$B$122,H20),""))))</f>
        <v/>
      </c>
      <c r="K20" s="1139" t="str">
        <f t="shared" si="2"/>
        <v/>
      </c>
      <c r="L20" s="1211"/>
      <c r="M20" s="1148"/>
      <c r="N20" s="1135"/>
      <c r="O20" s="1041"/>
      <c r="P20" s="1212" t="str">
        <f t="shared" si="6"/>
        <v/>
      </c>
      <c r="Q20" s="1190">
        <f t="shared" si="7"/>
        <v>0</v>
      </c>
      <c r="R20" s="1139">
        <f>IF('6)モーター'!Q20="","",Q20*'(参考)排出係数'!$F$3)</f>
        <v>0</v>
      </c>
      <c r="S20" s="1184"/>
      <c r="T20" s="1041"/>
      <c r="U20" s="1148"/>
      <c r="V20" s="1840" t="str">
        <f t="shared" si="3"/>
        <v/>
      </c>
      <c r="W20" s="1841"/>
      <c r="X20" s="1042"/>
      <c r="Y20" s="1148"/>
      <c r="Z20" s="1210" t="str">
        <f>IF(Y20="2極",AVERAGEIFS('(参考)モーター効率'!$C$2:$C$122,'(参考)モーター効率'!$A$2:$A$122,U20,'(参考)モーター効率'!$B$2:$B$122,X20),IF(Y20="4極",AVERAGEIFS('(参考)モーター効率'!$D$2:$D$122,'(参考)モーター効率'!$A$2:$A$122,U20,'(参考)モーター効率'!$B$2:$B$122,X20),IF(Y20="6極",AVERAGEIFS('(参考)モーター効率'!$E$2:$E$122,'(参考)モーター効率'!$A$2:$A$122,U20,'(参考)モーター効率'!$B$2:$B$122,X20),IF(Y20="8極",AVERAGEIFS('(参考)モーター効率'!$F$2:$F$122,'(参考)モーター効率'!$A$2:$A$122,U20,'(参考)モーター効率'!$B$2:$B$122,X20),""))))</f>
        <v/>
      </c>
      <c r="AA20" s="1139" t="str">
        <f t="shared" si="8"/>
        <v/>
      </c>
      <c r="AB20" s="1213" t="str">
        <f t="shared" si="4"/>
        <v/>
      </c>
      <c r="AC20" s="1148"/>
      <c r="AD20" s="1214" t="str">
        <f t="shared" si="11"/>
        <v/>
      </c>
      <c r="AE20" s="1190">
        <f t="shared" si="9"/>
        <v>0</v>
      </c>
      <c r="AF20" s="1194">
        <f>IF(AE20="","",AE20*'(参考)排出係数'!$F$3)</f>
        <v>0</v>
      </c>
      <c r="AG20" s="1190">
        <f t="shared" si="10"/>
        <v>0</v>
      </c>
      <c r="AH20" s="1139">
        <f t="shared" si="5"/>
        <v>0</v>
      </c>
      <c r="AI20" s="352"/>
      <c r="AJ20" s="352"/>
    </row>
    <row r="21" spans="1:36" s="354" customFormat="1" ht="18.75" customHeight="1">
      <c r="A21" s="352"/>
      <c r="B21" s="373" t="s">
        <v>320</v>
      </c>
      <c r="C21" s="1145"/>
      <c r="D21" s="1041"/>
      <c r="E21" s="1148"/>
      <c r="F21" s="1840" t="str">
        <f t="shared" si="1"/>
        <v/>
      </c>
      <c r="G21" s="1841"/>
      <c r="H21" s="1209"/>
      <c r="I21" s="1148"/>
      <c r="J21" s="1210" t="str">
        <f>IF(I21="2極",AVERAGEIFS('(参考)モーター効率'!$C$2:$C$122,'(参考)モーター効率'!$A$2:$A$122,E21,'(参考)モーター効率'!$B$2:$B$122,H21),IF(I21="4極",AVERAGEIFS('(参考)モーター効率'!$D$2:$D$122,'(参考)モーター効率'!$A$2:$A$122,E21,'(参考)モーター効率'!$B$2:$B$122,H21),IF(I21="6極",AVERAGEIFS('(参考)モーター効率'!$E$2:$E$122,'(参考)モーター効率'!$A$2:$A$122,E21,'(参考)モーター効率'!$B$2:$B$122,H21),IF(I21="8極",AVERAGEIFS('(参考)モーター効率'!$F$2:$F$122,'(参考)モーター効率'!$A$2:$A$122,E21,'(参考)モーター効率'!$B$2:$B$122,H21),""))))</f>
        <v/>
      </c>
      <c r="K21" s="1139" t="str">
        <f t="shared" si="2"/>
        <v/>
      </c>
      <c r="L21" s="1211"/>
      <c r="M21" s="1148"/>
      <c r="N21" s="1135"/>
      <c r="O21" s="1041"/>
      <c r="P21" s="1212" t="str">
        <f t="shared" si="6"/>
        <v/>
      </c>
      <c r="Q21" s="1190">
        <f t="shared" si="7"/>
        <v>0</v>
      </c>
      <c r="R21" s="1139">
        <f>IF('6)モーター'!Q21="","",Q21*'(参考)排出係数'!$F$3)</f>
        <v>0</v>
      </c>
      <c r="S21" s="1184"/>
      <c r="T21" s="1041"/>
      <c r="U21" s="1148"/>
      <c r="V21" s="1840" t="str">
        <f t="shared" ref="V21:V35" si="12">IF(U21="IE1","標準効率",IF(U21="IE2","高効率",IF(U21="IE3","プレミアム効率",IF(U21="IE4","スーパープレミアム効率",""))))</f>
        <v/>
      </c>
      <c r="W21" s="1841"/>
      <c r="X21" s="1042"/>
      <c r="Y21" s="1148"/>
      <c r="Z21" s="1210" t="str">
        <f>IF(Y21="2極",AVERAGEIFS('(参考)モーター効率'!$C$2:$C$122,'(参考)モーター効率'!$A$2:$A$122,U21,'(参考)モーター効率'!$B$2:$B$122,X21),IF(Y21="4極",AVERAGEIFS('(参考)モーター効率'!$D$2:$D$122,'(参考)モーター効率'!$A$2:$A$122,U21,'(参考)モーター効率'!$B$2:$B$122,X21),IF(Y21="6極",AVERAGEIFS('(参考)モーター効率'!$E$2:$E$122,'(参考)モーター効率'!$A$2:$A$122,U21,'(参考)モーター効率'!$B$2:$B$122,X21),IF(Y21="8極",AVERAGEIFS('(参考)モーター効率'!$F$2:$F$122,'(参考)モーター効率'!$A$2:$A$122,U21,'(参考)モーター効率'!$B$2:$B$122,X21),""))))</f>
        <v/>
      </c>
      <c r="AA21" s="1139" t="str">
        <f t="shared" si="8"/>
        <v/>
      </c>
      <c r="AB21" s="1213" t="str">
        <f t="shared" si="4"/>
        <v/>
      </c>
      <c r="AC21" s="1148"/>
      <c r="AD21" s="1214" t="str">
        <f t="shared" si="11"/>
        <v/>
      </c>
      <c r="AE21" s="1190">
        <f t="shared" si="9"/>
        <v>0</v>
      </c>
      <c r="AF21" s="1194">
        <f>IF(AE21="","",AE21*'(参考)排出係数'!$F$3)</f>
        <v>0</v>
      </c>
      <c r="AG21" s="1190">
        <f t="shared" si="10"/>
        <v>0</v>
      </c>
      <c r="AH21" s="1139">
        <f t="shared" si="5"/>
        <v>0</v>
      </c>
      <c r="AI21" s="352"/>
      <c r="AJ21" s="352"/>
    </row>
    <row r="22" spans="1:36" s="354" customFormat="1" ht="18.75" customHeight="1">
      <c r="A22" s="352"/>
      <c r="B22" s="373" t="s">
        <v>321</v>
      </c>
      <c r="C22" s="1145"/>
      <c r="D22" s="1041"/>
      <c r="E22" s="1148"/>
      <c r="F22" s="1840" t="str">
        <f t="shared" si="1"/>
        <v/>
      </c>
      <c r="G22" s="1841"/>
      <c r="H22" s="1209"/>
      <c r="I22" s="1148"/>
      <c r="J22" s="1210" t="str">
        <f>IF(I22="2極",AVERAGEIFS('(参考)モーター効率'!$C$2:$C$122,'(参考)モーター効率'!$A$2:$A$122,E22,'(参考)モーター効率'!$B$2:$B$122,H22),IF(I22="4極",AVERAGEIFS('(参考)モーター効率'!$D$2:$D$122,'(参考)モーター効率'!$A$2:$A$122,E22,'(参考)モーター効率'!$B$2:$B$122,H22),IF(I22="6極",AVERAGEIFS('(参考)モーター効率'!$E$2:$E$122,'(参考)モーター効率'!$A$2:$A$122,E22,'(参考)モーター効率'!$B$2:$B$122,H22),IF(I22="8極",AVERAGEIFS('(参考)モーター効率'!$F$2:$F$122,'(参考)モーター効率'!$A$2:$A$122,E22,'(参考)モーター効率'!$B$2:$B$122,H22),""))))</f>
        <v/>
      </c>
      <c r="K22" s="1139" t="str">
        <f t="shared" si="2"/>
        <v/>
      </c>
      <c r="L22" s="1211"/>
      <c r="M22" s="1148"/>
      <c r="N22" s="1135"/>
      <c r="O22" s="1041"/>
      <c r="P22" s="1212" t="str">
        <f t="shared" si="6"/>
        <v/>
      </c>
      <c r="Q22" s="1190">
        <f t="shared" si="7"/>
        <v>0</v>
      </c>
      <c r="R22" s="1139">
        <f>IF('6)モーター'!Q22="","",Q22*'(参考)排出係数'!$F$3)</f>
        <v>0</v>
      </c>
      <c r="S22" s="1184"/>
      <c r="T22" s="1041"/>
      <c r="U22" s="1148"/>
      <c r="V22" s="1840" t="str">
        <f t="shared" si="12"/>
        <v/>
      </c>
      <c r="W22" s="1841"/>
      <c r="X22" s="1042"/>
      <c r="Y22" s="1148"/>
      <c r="Z22" s="1210" t="str">
        <f>IF(Y22="2極",AVERAGEIFS('(参考)モーター効率'!$C$2:$C$122,'(参考)モーター効率'!$A$2:$A$122,U22,'(参考)モーター効率'!$B$2:$B$122,X22),IF(Y22="4極",AVERAGEIFS('(参考)モーター効率'!$D$2:$D$122,'(参考)モーター効率'!$A$2:$A$122,U22,'(参考)モーター効率'!$B$2:$B$122,X22),IF(Y22="6極",AVERAGEIFS('(参考)モーター効率'!$E$2:$E$122,'(参考)モーター効率'!$A$2:$A$122,U22,'(参考)モーター効率'!$B$2:$B$122,X22),IF(Y22="8極",AVERAGEIFS('(参考)モーター効率'!$F$2:$F$122,'(参考)モーター効率'!$A$2:$A$122,U22,'(参考)モーター効率'!$B$2:$B$122,X22),""))))</f>
        <v/>
      </c>
      <c r="AA22" s="1139" t="str">
        <f t="shared" si="8"/>
        <v/>
      </c>
      <c r="AB22" s="1213" t="str">
        <f t="shared" si="4"/>
        <v/>
      </c>
      <c r="AC22" s="1148"/>
      <c r="AD22" s="1214" t="str">
        <f t="shared" si="11"/>
        <v/>
      </c>
      <c r="AE22" s="1190">
        <f t="shared" si="9"/>
        <v>0</v>
      </c>
      <c r="AF22" s="1194">
        <f>IF(AE22="","",AE22*'(参考)排出係数'!$F$3)</f>
        <v>0</v>
      </c>
      <c r="AG22" s="1190">
        <f t="shared" si="10"/>
        <v>0</v>
      </c>
      <c r="AH22" s="1139">
        <f t="shared" si="5"/>
        <v>0</v>
      </c>
      <c r="AI22" s="352"/>
      <c r="AJ22" s="352"/>
    </row>
    <row r="23" spans="1:36" s="354" customFormat="1" ht="18.75" customHeight="1">
      <c r="A23" s="352"/>
      <c r="B23" s="373" t="s">
        <v>322</v>
      </c>
      <c r="C23" s="1145"/>
      <c r="D23" s="1041"/>
      <c r="E23" s="1148"/>
      <c r="F23" s="1840" t="str">
        <f t="shared" ref="F23:F35" si="13">IF(E23="IE1","標準効率",IF(E23="IE2","高効率",IF(E23="IE3","プレミアム効率",IF(E23="IE4","スーパープレミアム効率",""))))</f>
        <v/>
      </c>
      <c r="G23" s="1841"/>
      <c r="H23" s="1209"/>
      <c r="I23" s="1148"/>
      <c r="J23" s="1210" t="str">
        <f>IF(I23="2極",AVERAGEIFS('(参考)モーター効率'!$C$2:$C$122,'(参考)モーター効率'!$A$2:$A$122,E23,'(参考)モーター効率'!$B$2:$B$122,H23),IF(I23="4極",AVERAGEIFS('(参考)モーター効率'!$D$2:$D$122,'(参考)モーター効率'!$A$2:$A$122,E23,'(参考)モーター効率'!$B$2:$B$122,H23),IF(I23="6極",AVERAGEIFS('(参考)モーター効率'!$E$2:$E$122,'(参考)モーター効率'!$A$2:$A$122,E23,'(参考)モーター効率'!$B$2:$B$122,H23),IF(I23="8極",AVERAGEIFS('(参考)モーター効率'!$F$2:$F$122,'(参考)モーター効率'!$A$2:$A$122,E23,'(参考)モーター効率'!$B$2:$B$122,H23),""))))</f>
        <v/>
      </c>
      <c r="K23" s="1139" t="str">
        <f t="shared" ref="K23:K35" si="14">IF(J23="","",H23/J23)</f>
        <v/>
      </c>
      <c r="L23" s="1211"/>
      <c r="M23" s="1148"/>
      <c r="N23" s="1135"/>
      <c r="O23" s="1041"/>
      <c r="P23" s="1212" t="str">
        <f t="shared" si="6"/>
        <v/>
      </c>
      <c r="Q23" s="1190">
        <f t="shared" si="7"/>
        <v>0</v>
      </c>
      <c r="R23" s="1139">
        <f>IF('6)モーター'!Q23="","",Q23*'(参考)排出係数'!$F$3)</f>
        <v>0</v>
      </c>
      <c r="S23" s="1184"/>
      <c r="T23" s="1041"/>
      <c r="U23" s="1148"/>
      <c r="V23" s="1840" t="str">
        <f t="shared" si="12"/>
        <v/>
      </c>
      <c r="W23" s="1841"/>
      <c r="X23" s="1042"/>
      <c r="Y23" s="1148"/>
      <c r="Z23" s="1210" t="str">
        <f>IF(Y23="2極",AVERAGEIFS('(参考)モーター効率'!$C$2:$C$122,'(参考)モーター効率'!$A$2:$A$122,U23,'(参考)モーター効率'!$B$2:$B$122,X23),IF(Y23="4極",AVERAGEIFS('(参考)モーター効率'!$D$2:$D$122,'(参考)モーター効率'!$A$2:$A$122,U23,'(参考)モーター効率'!$B$2:$B$122,X23),IF(Y23="6極",AVERAGEIFS('(参考)モーター効率'!$E$2:$E$122,'(参考)モーター効率'!$A$2:$A$122,U23,'(参考)モーター効率'!$B$2:$B$122,X23),IF(Y23="8極",AVERAGEIFS('(参考)モーター効率'!$F$2:$F$122,'(参考)モーター効率'!$A$2:$A$122,U23,'(参考)モーター効率'!$B$2:$B$122,X23),""))))</f>
        <v/>
      </c>
      <c r="AA23" s="1139" t="str">
        <f t="shared" si="8"/>
        <v/>
      </c>
      <c r="AB23" s="1213" t="str">
        <f t="shared" si="4"/>
        <v/>
      </c>
      <c r="AC23" s="1148"/>
      <c r="AD23" s="1214" t="str">
        <f t="shared" si="11"/>
        <v/>
      </c>
      <c r="AE23" s="1190">
        <f t="shared" si="9"/>
        <v>0</v>
      </c>
      <c r="AF23" s="1194">
        <f>IF(AE23="","",AE23*'(参考)排出係数'!$F$3)</f>
        <v>0</v>
      </c>
      <c r="AG23" s="1190">
        <f t="shared" si="10"/>
        <v>0</v>
      </c>
      <c r="AH23" s="1139">
        <f t="shared" si="5"/>
        <v>0</v>
      </c>
      <c r="AI23" s="352"/>
      <c r="AJ23" s="352"/>
    </row>
    <row r="24" spans="1:36" s="354" customFormat="1" ht="18.75" customHeight="1">
      <c r="A24" s="352"/>
      <c r="B24" s="373" t="s">
        <v>323</v>
      </c>
      <c r="C24" s="1145"/>
      <c r="D24" s="1041"/>
      <c r="E24" s="1148"/>
      <c r="F24" s="1840" t="str">
        <f t="shared" si="13"/>
        <v/>
      </c>
      <c r="G24" s="1841"/>
      <c r="H24" s="1209"/>
      <c r="I24" s="1148"/>
      <c r="J24" s="1210" t="str">
        <f>IF(I24="2極",AVERAGEIFS('(参考)モーター効率'!$C$2:$C$122,'(参考)モーター効率'!$A$2:$A$122,E24,'(参考)モーター効率'!$B$2:$B$122,H24),IF(I24="4極",AVERAGEIFS('(参考)モーター効率'!$D$2:$D$122,'(参考)モーター効率'!$A$2:$A$122,E24,'(参考)モーター効率'!$B$2:$B$122,H24),IF(I24="6極",AVERAGEIFS('(参考)モーター効率'!$E$2:$E$122,'(参考)モーター効率'!$A$2:$A$122,E24,'(参考)モーター効率'!$B$2:$B$122,H24),IF(I24="8極",AVERAGEIFS('(参考)モーター効率'!$F$2:$F$122,'(参考)モーター効率'!$A$2:$A$122,E24,'(参考)モーター効率'!$B$2:$B$122,H24),""))))</f>
        <v/>
      </c>
      <c r="K24" s="1139" t="str">
        <f t="shared" si="14"/>
        <v/>
      </c>
      <c r="L24" s="1211"/>
      <c r="M24" s="1148"/>
      <c r="N24" s="1135"/>
      <c r="O24" s="1041"/>
      <c r="P24" s="1212" t="str">
        <f t="shared" si="6"/>
        <v/>
      </c>
      <c r="Q24" s="1190">
        <f t="shared" si="7"/>
        <v>0</v>
      </c>
      <c r="R24" s="1139">
        <f>IF('6)モーター'!Q24="","",Q24*'(参考)排出係数'!$F$3)</f>
        <v>0</v>
      </c>
      <c r="S24" s="1184"/>
      <c r="T24" s="1041"/>
      <c r="U24" s="1148"/>
      <c r="V24" s="1840" t="str">
        <f t="shared" si="12"/>
        <v/>
      </c>
      <c r="W24" s="1841"/>
      <c r="X24" s="1042"/>
      <c r="Y24" s="1148"/>
      <c r="Z24" s="1210" t="str">
        <f>IF(Y24="2極",AVERAGEIFS('(参考)モーター効率'!$C$2:$C$122,'(参考)モーター効率'!$A$2:$A$122,U24,'(参考)モーター効率'!$B$2:$B$122,X24),IF(Y24="4極",AVERAGEIFS('(参考)モーター効率'!$D$2:$D$122,'(参考)モーター効率'!$A$2:$A$122,U24,'(参考)モーター効率'!$B$2:$B$122,X24),IF(Y24="6極",AVERAGEIFS('(参考)モーター効率'!$E$2:$E$122,'(参考)モーター効率'!$A$2:$A$122,U24,'(参考)モーター効率'!$B$2:$B$122,X24),IF(Y24="8極",AVERAGEIFS('(参考)モーター効率'!$F$2:$F$122,'(参考)モーター効率'!$A$2:$A$122,U24,'(参考)モーター効率'!$B$2:$B$122,X24),""))))</f>
        <v/>
      </c>
      <c r="AA24" s="1139" t="str">
        <f t="shared" si="8"/>
        <v/>
      </c>
      <c r="AB24" s="1213" t="str">
        <f t="shared" si="4"/>
        <v/>
      </c>
      <c r="AC24" s="1148"/>
      <c r="AD24" s="1214" t="str">
        <f t="shared" si="11"/>
        <v/>
      </c>
      <c r="AE24" s="1190">
        <f t="shared" si="9"/>
        <v>0</v>
      </c>
      <c r="AF24" s="1194">
        <f>IF(AE24="","",AE24*'(参考)排出係数'!$F$3)</f>
        <v>0</v>
      </c>
      <c r="AG24" s="1190">
        <f t="shared" si="10"/>
        <v>0</v>
      </c>
      <c r="AH24" s="1139">
        <f t="shared" si="5"/>
        <v>0</v>
      </c>
      <c r="AI24" s="352"/>
      <c r="AJ24" s="352"/>
    </row>
    <row r="25" spans="1:36" s="354" customFormat="1" ht="18.75" customHeight="1">
      <c r="A25" s="352"/>
      <c r="B25" s="373" t="s">
        <v>324</v>
      </c>
      <c r="C25" s="1145"/>
      <c r="D25" s="1041"/>
      <c r="E25" s="1148"/>
      <c r="F25" s="1840" t="str">
        <f t="shared" si="13"/>
        <v/>
      </c>
      <c r="G25" s="1841"/>
      <c r="H25" s="1209"/>
      <c r="I25" s="1148"/>
      <c r="J25" s="1210" t="str">
        <f>IF(I25="2極",AVERAGEIFS('(参考)モーター効率'!$C$2:$C$122,'(参考)モーター効率'!$A$2:$A$122,E25,'(参考)モーター効率'!$B$2:$B$122,H25),IF(I25="4極",AVERAGEIFS('(参考)モーター効率'!$D$2:$D$122,'(参考)モーター効率'!$A$2:$A$122,E25,'(参考)モーター効率'!$B$2:$B$122,H25),IF(I25="6極",AVERAGEIFS('(参考)モーター効率'!$E$2:$E$122,'(参考)モーター効率'!$A$2:$A$122,E25,'(参考)モーター効率'!$B$2:$B$122,H25),IF(I25="8極",AVERAGEIFS('(参考)モーター効率'!$F$2:$F$122,'(参考)モーター効率'!$A$2:$A$122,E25,'(参考)モーター効率'!$B$2:$B$122,H25),""))))</f>
        <v/>
      </c>
      <c r="K25" s="1139" t="str">
        <f t="shared" si="14"/>
        <v/>
      </c>
      <c r="L25" s="1211"/>
      <c r="M25" s="1148"/>
      <c r="N25" s="1135"/>
      <c r="O25" s="1041"/>
      <c r="P25" s="1212" t="str">
        <f t="shared" si="6"/>
        <v/>
      </c>
      <c r="Q25" s="1190">
        <f t="shared" ref="Q25:Q35" si="15">IF(OR(D25="",K25="",L25="",P25=""),0,IF(M25="○",D25*K25*L25^2*P25,D25*K25*L25*P25))</f>
        <v>0</v>
      </c>
      <c r="R25" s="1139">
        <f>IF('6)モーター'!Q25="","",Q25*'(参考)排出係数'!$F$3)</f>
        <v>0</v>
      </c>
      <c r="S25" s="1184"/>
      <c r="T25" s="1041"/>
      <c r="U25" s="1148"/>
      <c r="V25" s="1840" t="str">
        <f t="shared" si="12"/>
        <v/>
      </c>
      <c r="W25" s="1841"/>
      <c r="X25" s="1042"/>
      <c r="Y25" s="1148"/>
      <c r="Z25" s="1210" t="str">
        <f>IF(Y25="2極",AVERAGEIFS('(参考)モーター効率'!$C$2:$C$122,'(参考)モーター効率'!$A$2:$A$122,U25,'(参考)モーター効率'!$B$2:$B$122,X25),IF(Y25="4極",AVERAGEIFS('(参考)モーター効率'!$D$2:$D$122,'(参考)モーター効率'!$A$2:$A$122,U25,'(参考)モーター効率'!$B$2:$B$122,X25),IF(Y25="6極",AVERAGEIFS('(参考)モーター効率'!$E$2:$E$122,'(参考)モーター効率'!$A$2:$A$122,U25,'(参考)モーター効率'!$B$2:$B$122,X25),IF(Y25="8極",AVERAGEIFS('(参考)モーター効率'!$F$2:$F$122,'(参考)モーター効率'!$A$2:$A$122,U25,'(参考)モーター効率'!$B$2:$B$122,X25),""))))</f>
        <v/>
      </c>
      <c r="AA25" s="1139" t="str">
        <f t="shared" ref="AA25:AA35" si="16">IF(Z25="","",X25/Z25)</f>
        <v/>
      </c>
      <c r="AB25" s="1213" t="str">
        <f t="shared" ref="AB25:AB35" si="17">IF(OR(H25=0,L25=0,X25=0),"",IF(H25&lt;X25,H25*L25/X25,L25))</f>
        <v/>
      </c>
      <c r="AC25" s="1148"/>
      <c r="AD25" s="1214" t="str">
        <f t="shared" ref="AD25:AD35" si="18">IF(P25="","",P25)</f>
        <v/>
      </c>
      <c r="AE25" s="1190">
        <f t="shared" ref="AE25:AE35" si="19">IF(OR(T25="",AA25="",AB25="",AD25=""),0,IF(AC25="○",T25*AA25*AB25^2*AD25,T25*AA25*AB25*AD25))</f>
        <v>0</v>
      </c>
      <c r="AF25" s="1194">
        <f>IF(AE25="","",AE25*'(参考)排出係数'!$F$3)</f>
        <v>0</v>
      </c>
      <c r="AG25" s="1190">
        <f t="shared" ref="AG25:AG35" si="20">IF(OR(Q25="",AE25=""),"",Q25-AE25)</f>
        <v>0</v>
      </c>
      <c r="AH25" s="1139">
        <f t="shared" ref="AH25:AH35" si="21">IF(OR(R25="",AF25=""),"",R25-AF25)</f>
        <v>0</v>
      </c>
      <c r="AI25" s="352"/>
      <c r="AJ25" s="352"/>
    </row>
    <row r="26" spans="1:36" s="354" customFormat="1" ht="18.75" customHeight="1">
      <c r="A26" s="352"/>
      <c r="B26" s="373" t="s">
        <v>423</v>
      </c>
      <c r="C26" s="1145"/>
      <c r="D26" s="1041"/>
      <c r="E26" s="1148"/>
      <c r="F26" s="1840" t="str">
        <f t="shared" si="13"/>
        <v/>
      </c>
      <c r="G26" s="1841"/>
      <c r="H26" s="1209"/>
      <c r="I26" s="1148"/>
      <c r="J26" s="1210" t="str">
        <f>IF(I26="2極",AVERAGEIFS('(参考)モーター効率'!$C$2:$C$122,'(参考)モーター効率'!$A$2:$A$122,E26,'(参考)モーター効率'!$B$2:$B$122,H26),IF(I26="4極",AVERAGEIFS('(参考)モーター効率'!$D$2:$D$122,'(参考)モーター効率'!$A$2:$A$122,E26,'(参考)モーター効率'!$B$2:$B$122,H26),IF(I26="6極",AVERAGEIFS('(参考)モーター効率'!$E$2:$E$122,'(参考)モーター効率'!$A$2:$A$122,E26,'(参考)モーター効率'!$B$2:$B$122,H26),IF(I26="8極",AVERAGEIFS('(参考)モーター効率'!$F$2:$F$122,'(参考)モーター効率'!$A$2:$A$122,E26,'(参考)モーター効率'!$B$2:$B$122,H26),""))))</f>
        <v/>
      </c>
      <c r="K26" s="1139" t="str">
        <f t="shared" si="14"/>
        <v/>
      </c>
      <c r="L26" s="1211"/>
      <c r="M26" s="1148"/>
      <c r="N26" s="1135"/>
      <c r="O26" s="1041"/>
      <c r="P26" s="1212" t="str">
        <f t="shared" si="6"/>
        <v/>
      </c>
      <c r="Q26" s="1190">
        <f t="shared" si="15"/>
        <v>0</v>
      </c>
      <c r="R26" s="1139">
        <f>IF('6)モーター'!Q26="","",Q26*'(参考)排出係数'!$F$3)</f>
        <v>0</v>
      </c>
      <c r="S26" s="1184"/>
      <c r="T26" s="1041"/>
      <c r="U26" s="1148"/>
      <c r="V26" s="1840" t="str">
        <f t="shared" si="12"/>
        <v/>
      </c>
      <c r="W26" s="1841"/>
      <c r="X26" s="1042"/>
      <c r="Y26" s="1148"/>
      <c r="Z26" s="1210" t="str">
        <f>IF(Y26="2極",AVERAGEIFS('(参考)モーター効率'!$C$2:$C$122,'(参考)モーター効率'!$A$2:$A$122,U26,'(参考)モーター効率'!$B$2:$B$122,X26),IF(Y26="4極",AVERAGEIFS('(参考)モーター効率'!$D$2:$D$122,'(参考)モーター効率'!$A$2:$A$122,U26,'(参考)モーター効率'!$B$2:$B$122,X26),IF(Y26="6極",AVERAGEIFS('(参考)モーター効率'!$E$2:$E$122,'(参考)モーター効率'!$A$2:$A$122,U26,'(参考)モーター効率'!$B$2:$B$122,X26),IF(Y26="8極",AVERAGEIFS('(参考)モーター効率'!$F$2:$F$122,'(参考)モーター効率'!$A$2:$A$122,U26,'(参考)モーター効率'!$B$2:$B$122,X26),""))))</f>
        <v/>
      </c>
      <c r="AA26" s="1139" t="str">
        <f t="shared" si="16"/>
        <v/>
      </c>
      <c r="AB26" s="1213" t="str">
        <f t="shared" si="17"/>
        <v/>
      </c>
      <c r="AC26" s="1148"/>
      <c r="AD26" s="1214" t="str">
        <f t="shared" si="18"/>
        <v/>
      </c>
      <c r="AE26" s="1190">
        <f t="shared" si="19"/>
        <v>0</v>
      </c>
      <c r="AF26" s="1194">
        <f>IF(AE26="","",AE26*'(参考)排出係数'!$F$3)</f>
        <v>0</v>
      </c>
      <c r="AG26" s="1190">
        <f t="shared" si="20"/>
        <v>0</v>
      </c>
      <c r="AH26" s="1139">
        <f t="shared" si="21"/>
        <v>0</v>
      </c>
      <c r="AI26" s="352"/>
      <c r="AJ26" s="352"/>
    </row>
    <row r="27" spans="1:36" s="354" customFormat="1" ht="18.75" customHeight="1">
      <c r="A27" s="352"/>
      <c r="B27" s="373" t="s">
        <v>424</v>
      </c>
      <c r="C27" s="1145"/>
      <c r="D27" s="1041"/>
      <c r="E27" s="1148"/>
      <c r="F27" s="1840" t="str">
        <f t="shared" si="13"/>
        <v/>
      </c>
      <c r="G27" s="1841"/>
      <c r="H27" s="1209"/>
      <c r="I27" s="1148"/>
      <c r="J27" s="1210" t="str">
        <f>IF(I27="2極",AVERAGEIFS('(参考)モーター効率'!$C$2:$C$122,'(参考)モーター効率'!$A$2:$A$122,E27,'(参考)モーター効率'!$B$2:$B$122,H27),IF(I27="4極",AVERAGEIFS('(参考)モーター効率'!$D$2:$D$122,'(参考)モーター効率'!$A$2:$A$122,E27,'(参考)モーター効率'!$B$2:$B$122,H27),IF(I27="6極",AVERAGEIFS('(参考)モーター効率'!$E$2:$E$122,'(参考)モーター効率'!$A$2:$A$122,E27,'(参考)モーター効率'!$B$2:$B$122,H27),IF(I27="8極",AVERAGEIFS('(参考)モーター効率'!$F$2:$F$122,'(参考)モーター効率'!$A$2:$A$122,E27,'(参考)モーター効率'!$B$2:$B$122,H27),""))))</f>
        <v/>
      </c>
      <c r="K27" s="1139" t="str">
        <f t="shared" si="14"/>
        <v/>
      </c>
      <c r="L27" s="1211"/>
      <c r="M27" s="1148"/>
      <c r="N27" s="1135"/>
      <c r="O27" s="1041"/>
      <c r="P27" s="1212" t="str">
        <f t="shared" si="6"/>
        <v/>
      </c>
      <c r="Q27" s="1190">
        <f t="shared" si="15"/>
        <v>0</v>
      </c>
      <c r="R27" s="1139">
        <f>IF('6)モーター'!Q27="","",Q27*'(参考)排出係数'!$F$3)</f>
        <v>0</v>
      </c>
      <c r="S27" s="1184"/>
      <c r="T27" s="1041"/>
      <c r="U27" s="1148"/>
      <c r="V27" s="1840" t="str">
        <f t="shared" si="12"/>
        <v/>
      </c>
      <c r="W27" s="1841"/>
      <c r="X27" s="1042"/>
      <c r="Y27" s="1148"/>
      <c r="Z27" s="1210" t="str">
        <f>IF(Y27="2極",AVERAGEIFS('(参考)モーター効率'!$C$2:$C$122,'(参考)モーター効率'!$A$2:$A$122,U27,'(参考)モーター効率'!$B$2:$B$122,X27),IF(Y27="4極",AVERAGEIFS('(参考)モーター効率'!$D$2:$D$122,'(参考)モーター効率'!$A$2:$A$122,U27,'(参考)モーター効率'!$B$2:$B$122,X27),IF(Y27="6極",AVERAGEIFS('(参考)モーター効率'!$E$2:$E$122,'(参考)モーター効率'!$A$2:$A$122,U27,'(参考)モーター効率'!$B$2:$B$122,X27),IF(Y27="8極",AVERAGEIFS('(参考)モーター効率'!$F$2:$F$122,'(参考)モーター効率'!$A$2:$A$122,U27,'(参考)モーター効率'!$B$2:$B$122,X27),""))))</f>
        <v/>
      </c>
      <c r="AA27" s="1139" t="str">
        <f t="shared" si="16"/>
        <v/>
      </c>
      <c r="AB27" s="1213" t="str">
        <f t="shared" si="17"/>
        <v/>
      </c>
      <c r="AC27" s="1148"/>
      <c r="AD27" s="1214" t="str">
        <f t="shared" si="18"/>
        <v/>
      </c>
      <c r="AE27" s="1190">
        <f t="shared" si="19"/>
        <v>0</v>
      </c>
      <c r="AF27" s="1194">
        <f>IF(AE27="","",AE27*'(参考)排出係数'!$F$3)</f>
        <v>0</v>
      </c>
      <c r="AG27" s="1190">
        <f t="shared" si="20"/>
        <v>0</v>
      </c>
      <c r="AH27" s="1139">
        <f t="shared" si="21"/>
        <v>0</v>
      </c>
      <c r="AI27" s="352"/>
      <c r="AJ27" s="352"/>
    </row>
    <row r="28" spans="1:36" s="354" customFormat="1" ht="18.75" customHeight="1">
      <c r="A28" s="352"/>
      <c r="B28" s="373" t="s">
        <v>425</v>
      </c>
      <c r="C28" s="1145"/>
      <c r="D28" s="1041"/>
      <c r="E28" s="1148"/>
      <c r="F28" s="1840" t="str">
        <f t="shared" si="13"/>
        <v/>
      </c>
      <c r="G28" s="1841"/>
      <c r="H28" s="1209"/>
      <c r="I28" s="1148"/>
      <c r="J28" s="1210" t="str">
        <f>IF(I28="2極",AVERAGEIFS('(参考)モーター効率'!$C$2:$C$122,'(参考)モーター効率'!$A$2:$A$122,E28,'(参考)モーター効率'!$B$2:$B$122,H28),IF(I28="4極",AVERAGEIFS('(参考)モーター効率'!$D$2:$D$122,'(参考)モーター効率'!$A$2:$A$122,E28,'(参考)モーター効率'!$B$2:$B$122,H28),IF(I28="6極",AVERAGEIFS('(参考)モーター効率'!$E$2:$E$122,'(参考)モーター効率'!$A$2:$A$122,E28,'(参考)モーター効率'!$B$2:$B$122,H28),IF(I28="8極",AVERAGEIFS('(参考)モーター効率'!$F$2:$F$122,'(参考)モーター効率'!$A$2:$A$122,E28,'(参考)モーター効率'!$B$2:$B$122,H28),""))))</f>
        <v/>
      </c>
      <c r="K28" s="1139" t="str">
        <f t="shared" si="14"/>
        <v/>
      </c>
      <c r="L28" s="1211"/>
      <c r="M28" s="1148"/>
      <c r="N28" s="1135"/>
      <c r="O28" s="1041"/>
      <c r="P28" s="1212" t="str">
        <f t="shared" si="6"/>
        <v/>
      </c>
      <c r="Q28" s="1190">
        <f t="shared" si="15"/>
        <v>0</v>
      </c>
      <c r="R28" s="1139">
        <f>IF('6)モーター'!Q28="","",Q28*'(参考)排出係数'!$F$3)</f>
        <v>0</v>
      </c>
      <c r="S28" s="1184"/>
      <c r="T28" s="1041"/>
      <c r="U28" s="1148"/>
      <c r="V28" s="1840" t="str">
        <f t="shared" si="12"/>
        <v/>
      </c>
      <c r="W28" s="1841"/>
      <c r="X28" s="1042"/>
      <c r="Y28" s="1148"/>
      <c r="Z28" s="1210" t="str">
        <f>IF(Y28="2極",AVERAGEIFS('(参考)モーター効率'!$C$2:$C$122,'(参考)モーター効率'!$A$2:$A$122,U28,'(参考)モーター効率'!$B$2:$B$122,X28),IF(Y28="4極",AVERAGEIFS('(参考)モーター効率'!$D$2:$D$122,'(参考)モーター効率'!$A$2:$A$122,U28,'(参考)モーター効率'!$B$2:$B$122,X28),IF(Y28="6極",AVERAGEIFS('(参考)モーター効率'!$E$2:$E$122,'(参考)モーター効率'!$A$2:$A$122,U28,'(参考)モーター効率'!$B$2:$B$122,X28),IF(Y28="8極",AVERAGEIFS('(参考)モーター効率'!$F$2:$F$122,'(参考)モーター効率'!$A$2:$A$122,U28,'(参考)モーター効率'!$B$2:$B$122,X28),""))))</f>
        <v/>
      </c>
      <c r="AA28" s="1139" t="str">
        <f t="shared" si="16"/>
        <v/>
      </c>
      <c r="AB28" s="1213" t="str">
        <f t="shared" si="17"/>
        <v/>
      </c>
      <c r="AC28" s="1148"/>
      <c r="AD28" s="1214" t="str">
        <f t="shared" si="18"/>
        <v/>
      </c>
      <c r="AE28" s="1190">
        <f t="shared" si="19"/>
        <v>0</v>
      </c>
      <c r="AF28" s="1194">
        <f>IF(AE28="","",AE28*'(参考)排出係数'!$F$3)</f>
        <v>0</v>
      </c>
      <c r="AG28" s="1190">
        <f t="shared" si="20"/>
        <v>0</v>
      </c>
      <c r="AH28" s="1139">
        <f t="shared" si="21"/>
        <v>0</v>
      </c>
      <c r="AI28" s="352"/>
      <c r="AJ28" s="352"/>
    </row>
    <row r="29" spans="1:36" s="354" customFormat="1" ht="18.75" customHeight="1">
      <c r="A29" s="352"/>
      <c r="B29" s="373" t="s">
        <v>426</v>
      </c>
      <c r="C29" s="1145"/>
      <c r="D29" s="1041"/>
      <c r="E29" s="1148"/>
      <c r="F29" s="1840" t="str">
        <f t="shared" si="13"/>
        <v/>
      </c>
      <c r="G29" s="1841"/>
      <c r="H29" s="1209"/>
      <c r="I29" s="1148"/>
      <c r="J29" s="1210" t="str">
        <f>IF(I29="2極",AVERAGEIFS('(参考)モーター効率'!$C$2:$C$122,'(参考)モーター効率'!$A$2:$A$122,E29,'(参考)モーター効率'!$B$2:$B$122,H29),IF(I29="4極",AVERAGEIFS('(参考)モーター効率'!$D$2:$D$122,'(参考)モーター効率'!$A$2:$A$122,E29,'(参考)モーター効率'!$B$2:$B$122,H29),IF(I29="6極",AVERAGEIFS('(参考)モーター効率'!$E$2:$E$122,'(参考)モーター効率'!$A$2:$A$122,E29,'(参考)モーター効率'!$B$2:$B$122,H29),IF(I29="8極",AVERAGEIFS('(参考)モーター効率'!$F$2:$F$122,'(参考)モーター効率'!$A$2:$A$122,E29,'(参考)モーター効率'!$B$2:$B$122,H29),""))))</f>
        <v/>
      </c>
      <c r="K29" s="1139" t="str">
        <f t="shared" si="14"/>
        <v/>
      </c>
      <c r="L29" s="1211"/>
      <c r="M29" s="1148"/>
      <c r="N29" s="1135"/>
      <c r="O29" s="1041"/>
      <c r="P29" s="1212" t="str">
        <f t="shared" si="6"/>
        <v/>
      </c>
      <c r="Q29" s="1190">
        <f t="shared" si="15"/>
        <v>0</v>
      </c>
      <c r="R29" s="1139">
        <f>IF('6)モーター'!Q29="","",Q29*'(参考)排出係数'!$F$3)</f>
        <v>0</v>
      </c>
      <c r="S29" s="1184"/>
      <c r="T29" s="1041"/>
      <c r="U29" s="1148"/>
      <c r="V29" s="1840" t="str">
        <f t="shared" si="12"/>
        <v/>
      </c>
      <c r="W29" s="1841"/>
      <c r="X29" s="1042"/>
      <c r="Y29" s="1148"/>
      <c r="Z29" s="1210" t="str">
        <f>IF(Y29="2極",AVERAGEIFS('(参考)モーター効率'!$C$2:$C$122,'(参考)モーター効率'!$A$2:$A$122,U29,'(参考)モーター効率'!$B$2:$B$122,X29),IF(Y29="4極",AVERAGEIFS('(参考)モーター効率'!$D$2:$D$122,'(参考)モーター効率'!$A$2:$A$122,U29,'(参考)モーター効率'!$B$2:$B$122,X29),IF(Y29="6極",AVERAGEIFS('(参考)モーター効率'!$E$2:$E$122,'(参考)モーター効率'!$A$2:$A$122,U29,'(参考)モーター効率'!$B$2:$B$122,X29),IF(Y29="8極",AVERAGEIFS('(参考)モーター効率'!$F$2:$F$122,'(参考)モーター効率'!$A$2:$A$122,U29,'(参考)モーター効率'!$B$2:$B$122,X29),""))))</f>
        <v/>
      </c>
      <c r="AA29" s="1139" t="str">
        <f t="shared" si="16"/>
        <v/>
      </c>
      <c r="AB29" s="1213" t="str">
        <f t="shared" si="17"/>
        <v/>
      </c>
      <c r="AC29" s="1148"/>
      <c r="AD29" s="1214" t="str">
        <f t="shared" si="18"/>
        <v/>
      </c>
      <c r="AE29" s="1190">
        <f t="shared" si="19"/>
        <v>0</v>
      </c>
      <c r="AF29" s="1194">
        <f>IF(AE29="","",AE29*'(参考)排出係数'!$F$3)</f>
        <v>0</v>
      </c>
      <c r="AG29" s="1190">
        <f t="shared" si="20"/>
        <v>0</v>
      </c>
      <c r="AH29" s="1139">
        <f t="shared" si="21"/>
        <v>0</v>
      </c>
      <c r="AI29" s="352"/>
      <c r="AJ29" s="352"/>
    </row>
    <row r="30" spans="1:36" s="354" customFormat="1" ht="18.75" customHeight="1">
      <c r="A30" s="352"/>
      <c r="B30" s="373" t="s">
        <v>427</v>
      </c>
      <c r="C30" s="1145"/>
      <c r="D30" s="1041"/>
      <c r="E30" s="1148"/>
      <c r="F30" s="1840" t="str">
        <f t="shared" si="13"/>
        <v/>
      </c>
      <c r="G30" s="1841"/>
      <c r="H30" s="1209"/>
      <c r="I30" s="1148"/>
      <c r="J30" s="1210" t="str">
        <f>IF(I30="2極",AVERAGEIFS('(参考)モーター効率'!$C$2:$C$122,'(参考)モーター効率'!$A$2:$A$122,E30,'(参考)モーター効率'!$B$2:$B$122,H30),IF(I30="4極",AVERAGEIFS('(参考)モーター効率'!$D$2:$D$122,'(参考)モーター効率'!$A$2:$A$122,E30,'(参考)モーター効率'!$B$2:$B$122,H30),IF(I30="6極",AVERAGEIFS('(参考)モーター効率'!$E$2:$E$122,'(参考)モーター効率'!$A$2:$A$122,E30,'(参考)モーター効率'!$B$2:$B$122,H30),IF(I30="8極",AVERAGEIFS('(参考)モーター効率'!$F$2:$F$122,'(参考)モーター効率'!$A$2:$A$122,E30,'(参考)モーター効率'!$B$2:$B$122,H30),""))))</f>
        <v/>
      </c>
      <c r="K30" s="1139" t="str">
        <f t="shared" si="14"/>
        <v/>
      </c>
      <c r="L30" s="1211"/>
      <c r="M30" s="1148"/>
      <c r="N30" s="1135"/>
      <c r="O30" s="1041"/>
      <c r="P30" s="1212" t="str">
        <f t="shared" si="6"/>
        <v/>
      </c>
      <c r="Q30" s="1190">
        <f t="shared" si="15"/>
        <v>0</v>
      </c>
      <c r="R30" s="1139">
        <f>IF('6)モーター'!Q30="","",Q30*'(参考)排出係数'!$F$3)</f>
        <v>0</v>
      </c>
      <c r="S30" s="1184"/>
      <c r="T30" s="1041"/>
      <c r="U30" s="1148"/>
      <c r="V30" s="1840" t="str">
        <f t="shared" si="12"/>
        <v/>
      </c>
      <c r="W30" s="1841"/>
      <c r="X30" s="1042"/>
      <c r="Y30" s="1148"/>
      <c r="Z30" s="1210" t="str">
        <f>IF(Y30="2極",AVERAGEIFS('(参考)モーター効率'!$C$2:$C$122,'(参考)モーター効率'!$A$2:$A$122,U30,'(参考)モーター効率'!$B$2:$B$122,X30),IF(Y30="4極",AVERAGEIFS('(参考)モーター効率'!$D$2:$D$122,'(参考)モーター効率'!$A$2:$A$122,U30,'(参考)モーター効率'!$B$2:$B$122,X30),IF(Y30="6極",AVERAGEIFS('(参考)モーター効率'!$E$2:$E$122,'(参考)モーター効率'!$A$2:$A$122,U30,'(参考)モーター効率'!$B$2:$B$122,X30),IF(Y30="8極",AVERAGEIFS('(参考)モーター効率'!$F$2:$F$122,'(参考)モーター効率'!$A$2:$A$122,U30,'(参考)モーター効率'!$B$2:$B$122,X30),""))))</f>
        <v/>
      </c>
      <c r="AA30" s="1139" t="str">
        <f t="shared" si="16"/>
        <v/>
      </c>
      <c r="AB30" s="1213" t="str">
        <f t="shared" si="17"/>
        <v/>
      </c>
      <c r="AC30" s="1148"/>
      <c r="AD30" s="1214" t="str">
        <f t="shared" si="18"/>
        <v/>
      </c>
      <c r="AE30" s="1190">
        <f t="shared" si="19"/>
        <v>0</v>
      </c>
      <c r="AF30" s="1194">
        <f>IF(AE30="","",AE30*'(参考)排出係数'!$F$3)</f>
        <v>0</v>
      </c>
      <c r="AG30" s="1190">
        <f t="shared" si="20"/>
        <v>0</v>
      </c>
      <c r="AH30" s="1139">
        <f t="shared" si="21"/>
        <v>0</v>
      </c>
      <c r="AI30" s="352"/>
      <c r="AJ30" s="352"/>
    </row>
    <row r="31" spans="1:36" s="354" customFormat="1" ht="18.75" customHeight="1">
      <c r="A31" s="352"/>
      <c r="B31" s="373" t="s">
        <v>428</v>
      </c>
      <c r="C31" s="1145"/>
      <c r="D31" s="1041"/>
      <c r="E31" s="1148"/>
      <c r="F31" s="1840" t="str">
        <f t="shared" si="13"/>
        <v/>
      </c>
      <c r="G31" s="1841"/>
      <c r="H31" s="1209"/>
      <c r="I31" s="1148"/>
      <c r="J31" s="1210" t="str">
        <f>IF(I31="2極",AVERAGEIFS('(参考)モーター効率'!$C$2:$C$122,'(参考)モーター効率'!$A$2:$A$122,E31,'(参考)モーター効率'!$B$2:$B$122,H31),IF(I31="4極",AVERAGEIFS('(参考)モーター効率'!$D$2:$D$122,'(参考)モーター効率'!$A$2:$A$122,E31,'(参考)モーター効率'!$B$2:$B$122,H31),IF(I31="6極",AVERAGEIFS('(参考)モーター効率'!$E$2:$E$122,'(参考)モーター効率'!$A$2:$A$122,E31,'(参考)モーター効率'!$B$2:$B$122,H31),IF(I31="8極",AVERAGEIFS('(参考)モーター効率'!$F$2:$F$122,'(参考)モーター効率'!$A$2:$A$122,E31,'(参考)モーター効率'!$B$2:$B$122,H31),""))))</f>
        <v/>
      </c>
      <c r="K31" s="1139" t="str">
        <f t="shared" si="14"/>
        <v/>
      </c>
      <c r="L31" s="1211"/>
      <c r="M31" s="1148"/>
      <c r="N31" s="1135"/>
      <c r="O31" s="1041"/>
      <c r="P31" s="1212" t="str">
        <f t="shared" si="6"/>
        <v/>
      </c>
      <c r="Q31" s="1190">
        <f t="shared" si="15"/>
        <v>0</v>
      </c>
      <c r="R31" s="1139">
        <f>IF('6)モーター'!Q31="","",Q31*'(参考)排出係数'!$F$3)</f>
        <v>0</v>
      </c>
      <c r="S31" s="1184"/>
      <c r="T31" s="1041"/>
      <c r="U31" s="1148"/>
      <c r="V31" s="1840" t="str">
        <f t="shared" si="12"/>
        <v/>
      </c>
      <c r="W31" s="1841"/>
      <c r="X31" s="1042"/>
      <c r="Y31" s="1148"/>
      <c r="Z31" s="1210" t="str">
        <f>IF(Y31="2極",AVERAGEIFS('(参考)モーター効率'!$C$2:$C$122,'(参考)モーター効率'!$A$2:$A$122,U31,'(参考)モーター効率'!$B$2:$B$122,X31),IF(Y31="4極",AVERAGEIFS('(参考)モーター効率'!$D$2:$D$122,'(参考)モーター効率'!$A$2:$A$122,U31,'(参考)モーター効率'!$B$2:$B$122,X31),IF(Y31="6極",AVERAGEIFS('(参考)モーター効率'!$E$2:$E$122,'(参考)モーター効率'!$A$2:$A$122,U31,'(参考)モーター効率'!$B$2:$B$122,X31),IF(Y31="8極",AVERAGEIFS('(参考)モーター効率'!$F$2:$F$122,'(参考)モーター効率'!$A$2:$A$122,U31,'(参考)モーター効率'!$B$2:$B$122,X31),""))))</f>
        <v/>
      </c>
      <c r="AA31" s="1139" t="str">
        <f t="shared" si="16"/>
        <v/>
      </c>
      <c r="AB31" s="1213" t="str">
        <f t="shared" si="17"/>
        <v/>
      </c>
      <c r="AC31" s="1148"/>
      <c r="AD31" s="1214" t="str">
        <f t="shared" si="18"/>
        <v/>
      </c>
      <c r="AE31" s="1190">
        <f t="shared" si="19"/>
        <v>0</v>
      </c>
      <c r="AF31" s="1194">
        <f>IF(AE31="","",AE31*'(参考)排出係数'!$F$3)</f>
        <v>0</v>
      </c>
      <c r="AG31" s="1190">
        <f t="shared" si="20"/>
        <v>0</v>
      </c>
      <c r="AH31" s="1139">
        <f t="shared" si="21"/>
        <v>0</v>
      </c>
      <c r="AI31" s="352"/>
      <c r="AJ31" s="352"/>
    </row>
    <row r="32" spans="1:36" s="354" customFormat="1" ht="18.75" customHeight="1">
      <c r="A32" s="352"/>
      <c r="B32" s="373" t="s">
        <v>429</v>
      </c>
      <c r="C32" s="1145"/>
      <c r="D32" s="1041"/>
      <c r="E32" s="1148"/>
      <c r="F32" s="1840" t="str">
        <f t="shared" si="13"/>
        <v/>
      </c>
      <c r="G32" s="1841"/>
      <c r="H32" s="1209"/>
      <c r="I32" s="1148"/>
      <c r="J32" s="1210" t="str">
        <f>IF(I32="2極",AVERAGEIFS('(参考)モーター効率'!$C$2:$C$122,'(参考)モーター効率'!$A$2:$A$122,E32,'(参考)モーター効率'!$B$2:$B$122,H32),IF(I32="4極",AVERAGEIFS('(参考)モーター効率'!$D$2:$D$122,'(参考)モーター効率'!$A$2:$A$122,E32,'(参考)モーター効率'!$B$2:$B$122,H32),IF(I32="6極",AVERAGEIFS('(参考)モーター効率'!$E$2:$E$122,'(参考)モーター効率'!$A$2:$A$122,E32,'(参考)モーター効率'!$B$2:$B$122,H32),IF(I32="8極",AVERAGEIFS('(参考)モーター効率'!$F$2:$F$122,'(参考)モーター効率'!$A$2:$A$122,E32,'(参考)モーター効率'!$B$2:$B$122,H32),""))))</f>
        <v/>
      </c>
      <c r="K32" s="1139" t="str">
        <f t="shared" si="14"/>
        <v/>
      </c>
      <c r="L32" s="1211"/>
      <c r="M32" s="1148"/>
      <c r="N32" s="1135"/>
      <c r="O32" s="1041"/>
      <c r="P32" s="1212" t="str">
        <f t="shared" si="6"/>
        <v/>
      </c>
      <c r="Q32" s="1190">
        <f t="shared" si="15"/>
        <v>0</v>
      </c>
      <c r="R32" s="1139">
        <f>IF('6)モーター'!Q32="","",Q32*'(参考)排出係数'!$F$3)</f>
        <v>0</v>
      </c>
      <c r="S32" s="1184"/>
      <c r="T32" s="1041"/>
      <c r="U32" s="1148"/>
      <c r="V32" s="1840" t="str">
        <f t="shared" si="12"/>
        <v/>
      </c>
      <c r="W32" s="1841"/>
      <c r="X32" s="1042"/>
      <c r="Y32" s="1148"/>
      <c r="Z32" s="1210" t="str">
        <f>IF(Y32="2極",AVERAGEIFS('(参考)モーター効率'!$C$2:$C$122,'(参考)モーター効率'!$A$2:$A$122,U32,'(参考)モーター効率'!$B$2:$B$122,X32),IF(Y32="4極",AVERAGEIFS('(参考)モーター効率'!$D$2:$D$122,'(参考)モーター効率'!$A$2:$A$122,U32,'(参考)モーター効率'!$B$2:$B$122,X32),IF(Y32="6極",AVERAGEIFS('(参考)モーター効率'!$E$2:$E$122,'(参考)モーター効率'!$A$2:$A$122,U32,'(参考)モーター効率'!$B$2:$B$122,X32),IF(Y32="8極",AVERAGEIFS('(参考)モーター効率'!$F$2:$F$122,'(参考)モーター効率'!$A$2:$A$122,U32,'(参考)モーター効率'!$B$2:$B$122,X32),""))))</f>
        <v/>
      </c>
      <c r="AA32" s="1139" t="str">
        <f t="shared" si="16"/>
        <v/>
      </c>
      <c r="AB32" s="1213" t="str">
        <f t="shared" si="17"/>
        <v/>
      </c>
      <c r="AC32" s="1148"/>
      <c r="AD32" s="1214" t="str">
        <f t="shared" si="18"/>
        <v/>
      </c>
      <c r="AE32" s="1190">
        <f t="shared" si="19"/>
        <v>0</v>
      </c>
      <c r="AF32" s="1194">
        <f>IF(AE32="","",AE32*'(参考)排出係数'!$F$3)</f>
        <v>0</v>
      </c>
      <c r="AG32" s="1190">
        <f t="shared" si="20"/>
        <v>0</v>
      </c>
      <c r="AH32" s="1139">
        <f t="shared" si="21"/>
        <v>0</v>
      </c>
      <c r="AI32" s="352"/>
      <c r="AJ32" s="352"/>
    </row>
    <row r="33" spans="1:36" s="354" customFormat="1" ht="18.75" customHeight="1">
      <c r="A33" s="352"/>
      <c r="B33" s="373" t="s">
        <v>430</v>
      </c>
      <c r="C33" s="1145"/>
      <c r="D33" s="1041"/>
      <c r="E33" s="1148"/>
      <c r="F33" s="1840" t="str">
        <f t="shared" si="13"/>
        <v/>
      </c>
      <c r="G33" s="1841"/>
      <c r="H33" s="1209"/>
      <c r="I33" s="1148"/>
      <c r="J33" s="1210" t="str">
        <f>IF(I33="2極",AVERAGEIFS('(参考)モーター効率'!$C$2:$C$122,'(参考)モーター効率'!$A$2:$A$122,E33,'(参考)モーター効率'!$B$2:$B$122,H33),IF(I33="4極",AVERAGEIFS('(参考)モーター効率'!$D$2:$D$122,'(参考)モーター効率'!$A$2:$A$122,E33,'(参考)モーター効率'!$B$2:$B$122,H33),IF(I33="6極",AVERAGEIFS('(参考)モーター効率'!$E$2:$E$122,'(参考)モーター効率'!$A$2:$A$122,E33,'(参考)モーター効率'!$B$2:$B$122,H33),IF(I33="8極",AVERAGEIFS('(参考)モーター効率'!$F$2:$F$122,'(参考)モーター効率'!$A$2:$A$122,E33,'(参考)モーター効率'!$B$2:$B$122,H33),""))))</f>
        <v/>
      </c>
      <c r="K33" s="1139" t="str">
        <f t="shared" si="14"/>
        <v/>
      </c>
      <c r="L33" s="1211"/>
      <c r="M33" s="1148"/>
      <c r="N33" s="1135"/>
      <c r="O33" s="1041"/>
      <c r="P33" s="1212" t="str">
        <f t="shared" si="6"/>
        <v/>
      </c>
      <c r="Q33" s="1190">
        <f t="shared" si="15"/>
        <v>0</v>
      </c>
      <c r="R33" s="1139">
        <f>IF('6)モーター'!Q33="","",Q33*'(参考)排出係数'!$F$3)</f>
        <v>0</v>
      </c>
      <c r="S33" s="1184"/>
      <c r="T33" s="1041"/>
      <c r="U33" s="1148"/>
      <c r="V33" s="1840" t="str">
        <f t="shared" si="12"/>
        <v/>
      </c>
      <c r="W33" s="1841"/>
      <c r="X33" s="1042"/>
      <c r="Y33" s="1148"/>
      <c r="Z33" s="1210" t="str">
        <f>IF(Y33="2極",AVERAGEIFS('(参考)モーター効率'!$C$2:$C$122,'(参考)モーター効率'!$A$2:$A$122,U33,'(参考)モーター効率'!$B$2:$B$122,X33),IF(Y33="4極",AVERAGEIFS('(参考)モーター効率'!$D$2:$D$122,'(参考)モーター効率'!$A$2:$A$122,U33,'(参考)モーター効率'!$B$2:$B$122,X33),IF(Y33="6極",AVERAGEIFS('(参考)モーター効率'!$E$2:$E$122,'(参考)モーター効率'!$A$2:$A$122,U33,'(参考)モーター効率'!$B$2:$B$122,X33),IF(Y33="8極",AVERAGEIFS('(参考)モーター効率'!$F$2:$F$122,'(参考)モーター効率'!$A$2:$A$122,U33,'(参考)モーター効率'!$B$2:$B$122,X33),""))))</f>
        <v/>
      </c>
      <c r="AA33" s="1139" t="str">
        <f t="shared" si="16"/>
        <v/>
      </c>
      <c r="AB33" s="1213" t="str">
        <f t="shared" si="17"/>
        <v/>
      </c>
      <c r="AC33" s="1148"/>
      <c r="AD33" s="1214" t="str">
        <f t="shared" si="18"/>
        <v/>
      </c>
      <c r="AE33" s="1190">
        <f t="shared" si="19"/>
        <v>0</v>
      </c>
      <c r="AF33" s="1194">
        <f>IF(AE33="","",AE33*'(参考)排出係数'!$F$3)</f>
        <v>0</v>
      </c>
      <c r="AG33" s="1190">
        <f t="shared" si="20"/>
        <v>0</v>
      </c>
      <c r="AH33" s="1139">
        <f t="shared" si="21"/>
        <v>0</v>
      </c>
      <c r="AI33" s="352"/>
      <c r="AJ33" s="352"/>
    </row>
    <row r="34" spans="1:36" s="354" customFormat="1" ht="18.75" customHeight="1">
      <c r="A34" s="352"/>
      <c r="B34" s="373" t="s">
        <v>431</v>
      </c>
      <c r="C34" s="1145"/>
      <c r="D34" s="1041"/>
      <c r="E34" s="1148"/>
      <c r="F34" s="1840" t="str">
        <f t="shared" si="13"/>
        <v/>
      </c>
      <c r="G34" s="1841"/>
      <c r="H34" s="1209"/>
      <c r="I34" s="1148"/>
      <c r="J34" s="1210" t="str">
        <f>IF(I34="2極",AVERAGEIFS('(参考)モーター効率'!$C$2:$C$122,'(参考)モーター効率'!$A$2:$A$122,E34,'(参考)モーター効率'!$B$2:$B$122,H34),IF(I34="4極",AVERAGEIFS('(参考)モーター効率'!$D$2:$D$122,'(参考)モーター効率'!$A$2:$A$122,E34,'(参考)モーター効率'!$B$2:$B$122,H34),IF(I34="6極",AVERAGEIFS('(参考)モーター効率'!$E$2:$E$122,'(参考)モーター効率'!$A$2:$A$122,E34,'(参考)モーター効率'!$B$2:$B$122,H34),IF(I34="8極",AVERAGEIFS('(参考)モーター効率'!$F$2:$F$122,'(参考)モーター効率'!$A$2:$A$122,E34,'(参考)モーター効率'!$B$2:$B$122,H34),""))))</f>
        <v/>
      </c>
      <c r="K34" s="1139" t="str">
        <f t="shared" si="14"/>
        <v/>
      </c>
      <c r="L34" s="1211"/>
      <c r="M34" s="1148"/>
      <c r="N34" s="1135"/>
      <c r="O34" s="1041"/>
      <c r="P34" s="1212" t="str">
        <f t="shared" si="6"/>
        <v/>
      </c>
      <c r="Q34" s="1190">
        <f t="shared" si="15"/>
        <v>0</v>
      </c>
      <c r="R34" s="1139">
        <f>IF('6)モーター'!Q34="","",Q34*'(参考)排出係数'!$F$3)</f>
        <v>0</v>
      </c>
      <c r="S34" s="1184"/>
      <c r="T34" s="1041"/>
      <c r="U34" s="1148"/>
      <c r="V34" s="1840" t="str">
        <f t="shared" si="12"/>
        <v/>
      </c>
      <c r="W34" s="1841"/>
      <c r="X34" s="1042"/>
      <c r="Y34" s="1148"/>
      <c r="Z34" s="1210" t="str">
        <f>IF(Y34="2極",AVERAGEIFS('(参考)モーター効率'!$C$2:$C$122,'(参考)モーター効率'!$A$2:$A$122,U34,'(参考)モーター効率'!$B$2:$B$122,X34),IF(Y34="4極",AVERAGEIFS('(参考)モーター効率'!$D$2:$D$122,'(参考)モーター効率'!$A$2:$A$122,U34,'(参考)モーター効率'!$B$2:$B$122,X34),IF(Y34="6極",AVERAGEIFS('(参考)モーター効率'!$E$2:$E$122,'(参考)モーター効率'!$A$2:$A$122,U34,'(参考)モーター効率'!$B$2:$B$122,X34),IF(Y34="8極",AVERAGEIFS('(参考)モーター効率'!$F$2:$F$122,'(参考)モーター効率'!$A$2:$A$122,U34,'(参考)モーター効率'!$B$2:$B$122,X34),""))))</f>
        <v/>
      </c>
      <c r="AA34" s="1139" t="str">
        <f t="shared" si="16"/>
        <v/>
      </c>
      <c r="AB34" s="1213" t="str">
        <f t="shared" si="17"/>
        <v/>
      </c>
      <c r="AC34" s="1148"/>
      <c r="AD34" s="1214" t="str">
        <f t="shared" si="18"/>
        <v/>
      </c>
      <c r="AE34" s="1190">
        <f t="shared" si="19"/>
        <v>0</v>
      </c>
      <c r="AF34" s="1194">
        <f>IF(AE34="","",AE34*'(参考)排出係数'!$F$3)</f>
        <v>0</v>
      </c>
      <c r="AG34" s="1190">
        <f t="shared" si="20"/>
        <v>0</v>
      </c>
      <c r="AH34" s="1139">
        <f t="shared" si="21"/>
        <v>0</v>
      </c>
      <c r="AI34" s="352"/>
      <c r="AJ34" s="352"/>
    </row>
    <row r="35" spans="1:36" s="354" customFormat="1" ht="18.75" customHeight="1">
      <c r="A35" s="352"/>
      <c r="B35" s="373" t="s">
        <v>432</v>
      </c>
      <c r="C35" s="1145"/>
      <c r="D35" s="1041"/>
      <c r="E35" s="1148"/>
      <c r="F35" s="1840" t="str">
        <f t="shared" si="13"/>
        <v/>
      </c>
      <c r="G35" s="1841"/>
      <c r="H35" s="1209"/>
      <c r="I35" s="1148"/>
      <c r="J35" s="1210" t="str">
        <f>IF(I35="2極",AVERAGEIFS('(参考)モーター効率'!$C$2:$C$122,'(参考)モーター効率'!$A$2:$A$122,E35,'(参考)モーター効率'!$B$2:$B$122,H35),IF(I35="4極",AVERAGEIFS('(参考)モーター効率'!$D$2:$D$122,'(参考)モーター効率'!$A$2:$A$122,E35,'(参考)モーター効率'!$B$2:$B$122,H35),IF(I35="6極",AVERAGEIFS('(参考)モーター効率'!$E$2:$E$122,'(参考)モーター効率'!$A$2:$A$122,E35,'(参考)モーター効率'!$B$2:$B$122,H35),IF(I35="8極",AVERAGEIFS('(参考)モーター効率'!$F$2:$F$122,'(参考)モーター効率'!$A$2:$A$122,E35,'(参考)モーター効率'!$B$2:$B$122,H35),""))))</f>
        <v/>
      </c>
      <c r="K35" s="1139" t="str">
        <f t="shared" si="14"/>
        <v/>
      </c>
      <c r="L35" s="1211"/>
      <c r="M35" s="1148"/>
      <c r="N35" s="1135"/>
      <c r="O35" s="1041"/>
      <c r="P35" s="1212" t="str">
        <f t="shared" si="6"/>
        <v/>
      </c>
      <c r="Q35" s="1190">
        <f t="shared" si="15"/>
        <v>0</v>
      </c>
      <c r="R35" s="1139">
        <f>IF('6)モーター'!Q35="","",Q35*'(参考)排出係数'!$F$3)</f>
        <v>0</v>
      </c>
      <c r="S35" s="1184"/>
      <c r="T35" s="1041"/>
      <c r="U35" s="1148"/>
      <c r="V35" s="1840" t="str">
        <f t="shared" si="12"/>
        <v/>
      </c>
      <c r="W35" s="1841"/>
      <c r="X35" s="1042"/>
      <c r="Y35" s="1148"/>
      <c r="Z35" s="1210" t="str">
        <f>IF(Y35="2極",AVERAGEIFS('(参考)モーター効率'!$C$2:$C$122,'(参考)モーター効率'!$A$2:$A$122,U35,'(参考)モーター効率'!$B$2:$B$122,X35),IF(Y35="4極",AVERAGEIFS('(参考)モーター効率'!$D$2:$D$122,'(参考)モーター効率'!$A$2:$A$122,U35,'(参考)モーター効率'!$B$2:$B$122,X35),IF(Y35="6極",AVERAGEIFS('(参考)モーター効率'!$E$2:$E$122,'(参考)モーター効率'!$A$2:$A$122,U35,'(参考)モーター効率'!$B$2:$B$122,X35),IF(Y35="8極",AVERAGEIFS('(参考)モーター効率'!$F$2:$F$122,'(参考)モーター効率'!$A$2:$A$122,U35,'(参考)モーター効率'!$B$2:$B$122,X35),""))))</f>
        <v/>
      </c>
      <c r="AA35" s="1139" t="str">
        <f t="shared" si="16"/>
        <v/>
      </c>
      <c r="AB35" s="1213" t="str">
        <f t="shared" si="17"/>
        <v/>
      </c>
      <c r="AC35" s="1148"/>
      <c r="AD35" s="1214" t="str">
        <f t="shared" si="18"/>
        <v/>
      </c>
      <c r="AE35" s="1190">
        <f t="shared" si="19"/>
        <v>0</v>
      </c>
      <c r="AF35" s="1194">
        <f>IF(AE35="","",AE35*'(参考)排出係数'!$F$3)</f>
        <v>0</v>
      </c>
      <c r="AG35" s="1190">
        <f t="shared" si="20"/>
        <v>0</v>
      </c>
      <c r="AH35" s="1139">
        <f t="shared" si="21"/>
        <v>0</v>
      </c>
      <c r="AI35" s="352"/>
      <c r="AJ35" s="352"/>
    </row>
    <row r="36" spans="1:36" s="354" customFormat="1" ht="18.75" customHeight="1">
      <c r="A36" s="352"/>
      <c r="B36" s="352"/>
      <c r="C36" s="352"/>
      <c r="D36" s="352"/>
      <c r="E36" s="352"/>
      <c r="F36" s="352"/>
      <c r="G36" s="308"/>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row>
    <row r="37" spans="1:36">
      <c r="AC37" s="137"/>
    </row>
  </sheetData>
  <protectedRanges>
    <protectedRange sqref="L4:U4 C16:E35 H16:I35 L16:O35 S16:U35 X16:Y35 AC16:AC35" name="範囲1"/>
  </protectedRanges>
  <mergeCells count="54">
    <mergeCell ref="F34:G34"/>
    <mergeCell ref="V25:W25"/>
    <mergeCell ref="V26:W26"/>
    <mergeCell ref="V27:W27"/>
    <mergeCell ref="V28:W28"/>
    <mergeCell ref="V29:W29"/>
    <mergeCell ref="V30:W30"/>
    <mergeCell ref="V31:W31"/>
    <mergeCell ref="V32:W32"/>
    <mergeCell ref="V33:W33"/>
    <mergeCell ref="V34:W34"/>
    <mergeCell ref="F29:G29"/>
    <mergeCell ref="F30:G30"/>
    <mergeCell ref="F31:G31"/>
    <mergeCell ref="F32:G32"/>
    <mergeCell ref="F33:G33"/>
    <mergeCell ref="F18:G18"/>
    <mergeCell ref="V18:W18"/>
    <mergeCell ref="F19:G19"/>
    <mergeCell ref="V19:W19"/>
    <mergeCell ref="F14:G14"/>
    <mergeCell ref="V14:W14"/>
    <mergeCell ref="F16:G16"/>
    <mergeCell ref="V16:W16"/>
    <mergeCell ref="F17:G17"/>
    <mergeCell ref="V17:W17"/>
    <mergeCell ref="B11:B12"/>
    <mergeCell ref="F12:G12"/>
    <mergeCell ref="V12:W12"/>
    <mergeCell ref="F13:G13"/>
    <mergeCell ref="V13:W13"/>
    <mergeCell ref="F35:G35"/>
    <mergeCell ref="V35:W35"/>
    <mergeCell ref="F20:G20"/>
    <mergeCell ref="V20:W20"/>
    <mergeCell ref="F21:G21"/>
    <mergeCell ref="V21:W21"/>
    <mergeCell ref="F22:G22"/>
    <mergeCell ref="V22:W22"/>
    <mergeCell ref="F23:G23"/>
    <mergeCell ref="V23:W23"/>
    <mergeCell ref="F24:G24"/>
    <mergeCell ref="V24:W24"/>
    <mergeCell ref="F25:G25"/>
    <mergeCell ref="F26:G26"/>
    <mergeCell ref="F27:G27"/>
    <mergeCell ref="F28:G28"/>
    <mergeCell ref="C3:D3"/>
    <mergeCell ref="C4:D4"/>
    <mergeCell ref="C5:D5"/>
    <mergeCell ref="F15:G15"/>
    <mergeCell ref="V15:W15"/>
    <mergeCell ref="C6:D6"/>
    <mergeCell ref="C7:D7"/>
  </mergeCells>
  <phoneticPr fontId="2"/>
  <conditionalFormatting sqref="F6:G7">
    <cfRule type="expression" dxfId="47" priority="4">
      <formula>$E$1="なし"</formula>
    </cfRule>
  </conditionalFormatting>
  <conditionalFormatting sqref="I4:I7">
    <cfRule type="expression" dxfId="46" priority="5">
      <formula>$E$1="なし"</formula>
    </cfRule>
  </conditionalFormatting>
  <conditionalFormatting sqref="M7:U7">
    <cfRule type="expression" dxfId="45" priority="1">
      <formula>$M$5="増加"</formula>
    </cfRule>
  </conditionalFormatting>
  <conditionalFormatting sqref="X15">
    <cfRule type="cellIs" dxfId="44" priority="3" operator="greaterThan">
      <formula>$H$15</formula>
    </cfRule>
  </conditionalFormatting>
  <conditionalFormatting sqref="AF15">
    <cfRule type="expression" dxfId="43" priority="6">
      <formula>#REF!="なし"</formula>
    </cfRule>
  </conditionalFormatting>
  <dataValidations count="4">
    <dataValidation type="list" errorStyle="warning" allowBlank="1" showInputMessage="1" showErrorMessage="1" errorTitle="プルダウンにない出力のモーターの場合" error="手入力の上、根拠となる資料を別途提出してください。" sqref="H16:H35" xr:uid="{99BA1DE5-4489-4ACB-A520-5CF833F313C9}">
      <formula1>INDIRECT("range"&amp;E16)</formula1>
    </dataValidation>
    <dataValidation type="list" allowBlank="1" showInputMessage="1" showErrorMessage="1" sqref="E14:E35 U14:U35" xr:uid="{82D1A5A4-B3C0-433F-8804-858A96B9B4B2}">
      <formula1>"IE1,IE2,IE3,IE4"</formula1>
    </dataValidation>
    <dataValidation type="list" allowBlank="1" showInputMessage="1" showErrorMessage="1" sqref="H14 X14 X16:X35" xr:uid="{DC533806-F60C-4294-AB33-1833F983B35A}">
      <formula1>INDIRECT("range"&amp;E14)</formula1>
    </dataValidation>
    <dataValidation type="list" allowBlank="1" showInputMessage="1" showErrorMessage="1" sqref="M14:M35 AC14:AC35" xr:uid="{194209C5-2E4C-443D-9571-F740A04323DB}">
      <formula1>"○"</formula1>
    </dataValidation>
  </dataValidations>
  <pageMargins left="0.7" right="0.7" top="0.75" bottom="0.75" header="0.3" footer="0.3"/>
  <pageSetup paperSize="8" scale="51" orientation="landscape" r:id="rId1"/>
  <ignoredErrors>
    <ignoredError sqref="H6" 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5FD24CF4-5B7B-456C-8B43-E4AED3F113D0}">
          <x14:formula1>
            <xm:f>IF($E$16="IE4",'(参考)モーター効率'!$C$1:$F$1,'(参考)モーター効率'!$C$1:$E$1)</xm:f>
          </x14:formula1>
          <xm:sqref>I16:I35</xm:sqref>
        </x14:dataValidation>
        <x14:dataValidation type="list" allowBlank="1" showInputMessage="1" showErrorMessage="1" xr:uid="{05A96112-D951-4470-B912-F05AD33D4755}">
          <x14:formula1>
            <xm:f>IF($U$20="IE4",'(参考)モーター効率'!$C$1:$F$1,'(参考)モーター効率'!$C$1:$E$1)</xm:f>
          </x14:formula1>
          <xm:sqref>Y16:Y35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C0410-F50A-4AE9-8C82-88BDFE7B544B}">
  <sheetPr>
    <pageSetUpPr fitToPage="1"/>
  </sheetPr>
  <dimension ref="A1:W36"/>
  <sheetViews>
    <sheetView zoomScaleNormal="100" zoomScaleSheetLayoutView="100" workbookViewId="0">
      <pane ySplit="1" topLeftCell="A2" activePane="bottomLeft" state="frozen"/>
      <selection pane="bottomLeft" activeCell="A2" sqref="A2"/>
    </sheetView>
  </sheetViews>
  <sheetFormatPr defaultColWidth="9" defaultRowHeight="13"/>
  <cols>
    <col min="1" max="1" width="3.58203125" style="112" customWidth="1"/>
    <col min="2" max="2" width="6.58203125" style="112" customWidth="1"/>
    <col min="3" max="22" width="10.58203125" style="112" customWidth="1"/>
    <col min="23" max="23" width="4.33203125" style="112" customWidth="1"/>
    <col min="24" max="24" width="7.33203125" style="112" customWidth="1"/>
    <col min="25" max="16384" width="9" style="112"/>
  </cols>
  <sheetData>
    <row r="1" spans="1:23" s="114" customFormat="1" ht="30" customHeight="1">
      <c r="A1" s="163" t="s">
        <v>383</v>
      </c>
      <c r="B1" s="164"/>
      <c r="C1" s="164"/>
      <c r="D1" s="164"/>
      <c r="E1" s="164"/>
      <c r="F1" s="164"/>
      <c r="G1" s="187"/>
      <c r="H1" s="164"/>
      <c r="I1" s="166"/>
      <c r="J1" s="164"/>
      <c r="K1" s="164"/>
      <c r="L1" s="164"/>
      <c r="M1" s="164"/>
      <c r="N1" s="164"/>
      <c r="O1" s="164"/>
      <c r="P1" s="164"/>
      <c r="Q1" s="164"/>
      <c r="R1" s="164"/>
      <c r="S1" s="164"/>
      <c r="T1" s="164"/>
      <c r="U1" s="164"/>
      <c r="V1" s="164"/>
      <c r="W1" s="164"/>
    </row>
    <row r="2" spans="1:23" s="380" customFormat="1" ht="18.75" customHeight="1">
      <c r="A2" s="379"/>
      <c r="B2" s="379"/>
      <c r="C2" s="379"/>
      <c r="D2" s="379"/>
      <c r="E2" s="379"/>
      <c r="F2" s="379"/>
      <c r="G2" s="379"/>
      <c r="H2" s="379"/>
      <c r="I2" s="379"/>
      <c r="J2" s="379"/>
      <c r="K2" s="379"/>
      <c r="L2" s="379"/>
      <c r="M2" s="379"/>
      <c r="N2" s="379"/>
      <c r="O2" s="379"/>
      <c r="P2" s="379"/>
      <c r="Q2" s="379"/>
      <c r="R2" s="379"/>
      <c r="S2" s="379"/>
      <c r="T2" s="379"/>
      <c r="U2" s="379"/>
      <c r="V2" s="379"/>
      <c r="W2" s="379"/>
    </row>
    <row r="3" spans="1:23" s="380" customFormat="1" ht="20.149999999999999" customHeight="1">
      <c r="A3" s="379"/>
      <c r="B3" s="379"/>
      <c r="C3" s="115" t="s">
        <v>197</v>
      </c>
      <c r="D3" s="116"/>
      <c r="E3" s="117" t="s">
        <v>198</v>
      </c>
      <c r="F3" s="117" t="s">
        <v>199</v>
      </c>
      <c r="G3" s="117" t="s">
        <v>200</v>
      </c>
      <c r="H3" s="117" t="s">
        <v>201</v>
      </c>
      <c r="I3" s="355" t="s">
        <v>202</v>
      </c>
      <c r="J3" s="379"/>
      <c r="K3" s="379"/>
      <c r="L3" s="96" t="s">
        <v>674</v>
      </c>
      <c r="M3" s="437"/>
      <c r="N3" s="437"/>
      <c r="O3" s="437"/>
      <c r="P3" s="437"/>
      <c r="Q3" s="437"/>
      <c r="R3" s="437"/>
      <c r="S3" s="437"/>
      <c r="T3" s="437"/>
      <c r="U3" s="97"/>
      <c r="V3" s="379"/>
      <c r="W3" s="379"/>
    </row>
    <row r="4" spans="1:23" s="380" customFormat="1" ht="20.149999999999999" customHeight="1">
      <c r="A4" s="379"/>
      <c r="B4" s="379"/>
      <c r="C4" s="115" t="s">
        <v>203</v>
      </c>
      <c r="D4" s="116"/>
      <c r="E4" s="117" t="s">
        <v>204</v>
      </c>
      <c r="F4" s="442">
        <f>J15</f>
        <v>0</v>
      </c>
      <c r="G4" s="442">
        <f>S15</f>
        <v>0</v>
      </c>
      <c r="H4" s="443">
        <f>F4-G4</f>
        <v>0</v>
      </c>
      <c r="I4" s="912">
        <f>IFERROR(H4/F4,0)</f>
        <v>0</v>
      </c>
      <c r="J4" s="379"/>
      <c r="K4" s="379"/>
      <c r="L4" s="431"/>
      <c r="M4" s="432"/>
      <c r="N4" s="432"/>
      <c r="O4" s="432"/>
      <c r="P4" s="432"/>
      <c r="Q4" s="432"/>
      <c r="R4" s="432"/>
      <c r="S4" s="432"/>
      <c r="T4" s="432"/>
      <c r="U4" s="433"/>
      <c r="V4" s="379"/>
      <c r="W4" s="379"/>
    </row>
    <row r="5" spans="1:23" s="380" customFormat="1" ht="20.149999999999999" customHeight="1">
      <c r="A5" s="379"/>
      <c r="B5" s="379"/>
      <c r="C5" s="115" t="s">
        <v>205</v>
      </c>
      <c r="D5" s="116"/>
      <c r="E5" s="120" t="s">
        <v>374</v>
      </c>
      <c r="F5" s="905">
        <f>K15</f>
        <v>0</v>
      </c>
      <c r="G5" s="905">
        <f>T15</f>
        <v>0</v>
      </c>
      <c r="H5" s="910">
        <f>F5-G5</f>
        <v>0</v>
      </c>
      <c r="I5" s="912">
        <f>IFERROR(H5/F5,0)</f>
        <v>0</v>
      </c>
      <c r="J5" s="379"/>
      <c r="K5" s="379"/>
      <c r="L5" s="352"/>
      <c r="M5" s="352"/>
      <c r="N5" s="352"/>
      <c r="O5" s="352"/>
      <c r="P5" s="352"/>
      <c r="Q5" s="352"/>
      <c r="R5" s="352"/>
      <c r="S5" s="352"/>
      <c r="T5" s="352"/>
      <c r="U5" s="352"/>
      <c r="V5" s="379"/>
      <c r="W5" s="379"/>
    </row>
    <row r="6" spans="1:23" s="380" customFormat="1" ht="20.149999999999999" customHeight="1">
      <c r="A6" s="379"/>
      <c r="B6" s="379"/>
      <c r="C6" s="115" t="s">
        <v>207</v>
      </c>
      <c r="D6" s="116"/>
      <c r="E6" s="117" t="s">
        <v>208</v>
      </c>
      <c r="F6" s="387">
        <f>F4*【共通】事業所の光熱費!$H$6</f>
        <v>0</v>
      </c>
      <c r="G6" s="387">
        <f>G4*【共通】事業所の光熱費!$H$6</f>
        <v>0</v>
      </c>
      <c r="H6" s="387">
        <f>IF(OR(F6="ー",G6="ー"),"ー",F6-G6)</f>
        <v>0</v>
      </c>
      <c r="I6" s="912">
        <f>IFERROR(H6/F6,0)</f>
        <v>0</v>
      </c>
      <c r="J6" s="379"/>
      <c r="K6" s="379"/>
      <c r="L6" s="96" t="s">
        <v>669</v>
      </c>
      <c r="M6" s="444"/>
      <c r="N6" s="444"/>
      <c r="O6" s="444"/>
      <c r="P6" s="444"/>
      <c r="Q6" s="444"/>
      <c r="R6" s="444"/>
      <c r="S6" s="444"/>
      <c r="T6" s="444"/>
      <c r="U6" s="116"/>
      <c r="V6" s="379"/>
      <c r="W6" s="379"/>
    </row>
    <row r="7" spans="1:23" s="380" customFormat="1" ht="20.149999999999999" customHeight="1">
      <c r="A7" s="379"/>
      <c r="B7" s="379"/>
      <c r="C7" s="173" t="s">
        <v>627</v>
      </c>
      <c r="D7" s="116"/>
      <c r="E7" s="117" t="s">
        <v>209</v>
      </c>
      <c r="F7" s="744">
        <f>F4*'(参考)排出係数'!$C$3*0.0000258</f>
        <v>0</v>
      </c>
      <c r="G7" s="510">
        <f>G4*'(参考)排出係数'!$C$3*0.0000258</f>
        <v>0</v>
      </c>
      <c r="H7" s="511">
        <f>F7-G7</f>
        <v>0</v>
      </c>
      <c r="I7" s="912">
        <f t="shared" ref="I7" si="0">IFERROR(H7/F7,0)</f>
        <v>0</v>
      </c>
      <c r="J7" s="379"/>
      <c r="K7" s="379"/>
      <c r="L7" s="286" t="str">
        <f>IF(OR(D15=0,M15=0),"",IF(D15=M15,"なし",IF(D15&gt;M15,"減少","増加")))</f>
        <v/>
      </c>
      <c r="M7" s="434" t="str">
        <f>IF(OR(L7="",L7="なし"),"－",IF(L7="減少","減少する理由を特記事項欄に記載してください。","やむを得ず増加する場合は特記事項欄に理由を記載してください。"))</f>
        <v>－</v>
      </c>
      <c r="N7" s="435"/>
      <c r="O7" s="435"/>
      <c r="P7" s="435"/>
      <c r="Q7" s="435"/>
      <c r="R7" s="435"/>
      <c r="S7" s="435"/>
      <c r="T7" s="435"/>
      <c r="U7" s="436"/>
      <c r="V7" s="379"/>
      <c r="W7" s="379"/>
    </row>
    <row r="8" spans="1:23" s="380" customFormat="1" ht="20.149999999999999" customHeight="1">
      <c r="A8" s="379"/>
      <c r="B8" s="379"/>
      <c r="C8" s="33" t="s">
        <v>376</v>
      </c>
      <c r="D8" s="379"/>
      <c r="E8" s="379"/>
      <c r="F8" s="379"/>
      <c r="G8" s="379"/>
      <c r="H8" s="379"/>
      <c r="I8" s="379"/>
      <c r="J8" s="379"/>
      <c r="K8" s="379"/>
      <c r="L8" s="33" t="s">
        <v>709</v>
      </c>
      <c r="M8" s="352"/>
      <c r="N8" s="352"/>
      <c r="O8" s="352"/>
      <c r="P8" s="352"/>
      <c r="Q8" s="353"/>
      <c r="R8" s="352"/>
      <c r="S8" s="352"/>
      <c r="T8" s="352"/>
      <c r="U8" s="352"/>
      <c r="V8" s="379"/>
      <c r="W8" s="379"/>
    </row>
    <row r="9" spans="1:23" s="380" customFormat="1" ht="20.149999999999999" customHeight="1">
      <c r="A9" s="379"/>
      <c r="B9" s="379"/>
      <c r="C9" s="379"/>
      <c r="D9" s="379"/>
      <c r="E9" s="379"/>
      <c r="F9" s="379"/>
      <c r="G9" s="379"/>
      <c r="H9" s="379"/>
      <c r="I9" s="379"/>
      <c r="J9" s="379"/>
      <c r="K9" s="379"/>
      <c r="L9" s="379"/>
      <c r="M9" s="379"/>
      <c r="N9" s="379"/>
      <c r="O9" s="379"/>
      <c r="P9" s="379"/>
      <c r="Q9" s="352"/>
      <c r="S9" s="379"/>
      <c r="T9" s="379"/>
      <c r="U9" s="379"/>
      <c r="V9" s="379"/>
      <c r="W9" s="379"/>
    </row>
    <row r="10" spans="1:23" s="380" customFormat="1" ht="17.5" customHeight="1">
      <c r="A10" s="379"/>
      <c r="B10" s="379"/>
      <c r="C10" s="439" t="s">
        <v>43</v>
      </c>
      <c r="D10" s="440" t="s">
        <v>668</v>
      </c>
      <c r="E10" s="441" t="s">
        <v>723</v>
      </c>
      <c r="F10" s="379"/>
      <c r="G10" s="379"/>
      <c r="H10" s="379"/>
      <c r="I10" s="379"/>
      <c r="J10" s="379"/>
      <c r="K10" s="379"/>
      <c r="L10" s="352" t="s">
        <v>714</v>
      </c>
      <c r="M10" s="379"/>
      <c r="N10" s="379"/>
      <c r="O10" s="379"/>
      <c r="P10" s="379"/>
      <c r="Q10" s="352" t="s">
        <v>708</v>
      </c>
      <c r="R10" s="379"/>
      <c r="S10" s="379"/>
      <c r="T10" s="379"/>
      <c r="U10" s="379"/>
      <c r="V10" s="379"/>
      <c r="W10" s="379"/>
    </row>
    <row r="11" spans="1:23" s="354" customFormat="1" ht="20.149999999999999" customHeight="1">
      <c r="A11" s="352"/>
      <c r="B11" s="1688" t="s">
        <v>197</v>
      </c>
      <c r="C11" s="291" t="s">
        <v>199</v>
      </c>
      <c r="D11" s="292"/>
      <c r="E11" s="292"/>
      <c r="F11" s="292"/>
      <c r="G11" s="292"/>
      <c r="H11" s="292"/>
      <c r="I11" s="292"/>
      <c r="J11" s="292"/>
      <c r="K11" s="293"/>
      <c r="L11" s="357" t="s">
        <v>200</v>
      </c>
      <c r="M11" s="358"/>
      <c r="N11" s="358"/>
      <c r="O11" s="358"/>
      <c r="P11" s="358"/>
      <c r="Q11" s="358"/>
      <c r="R11" s="358"/>
      <c r="S11" s="358"/>
      <c r="T11" s="359"/>
      <c r="U11" s="445" t="s">
        <v>210</v>
      </c>
      <c r="V11" s="445"/>
      <c r="W11" s="1855"/>
    </row>
    <row r="12" spans="1:23" s="354" customFormat="1" ht="24">
      <c r="A12" s="352"/>
      <c r="B12" s="1690"/>
      <c r="C12" s="125" t="s">
        <v>389</v>
      </c>
      <c r="D12" s="125" t="s">
        <v>390</v>
      </c>
      <c r="E12" s="125" t="s">
        <v>435</v>
      </c>
      <c r="F12" s="125" t="s">
        <v>606</v>
      </c>
      <c r="G12" s="125" t="s">
        <v>433</v>
      </c>
      <c r="H12" s="125" t="s">
        <v>341</v>
      </c>
      <c r="I12" s="125" t="s">
        <v>393</v>
      </c>
      <c r="J12" s="125" t="s">
        <v>394</v>
      </c>
      <c r="K12" s="125" t="s">
        <v>214</v>
      </c>
      <c r="L12" s="131" t="s">
        <v>389</v>
      </c>
      <c r="M12" s="131" t="s">
        <v>390</v>
      </c>
      <c r="N12" s="131" t="s">
        <v>435</v>
      </c>
      <c r="O12" s="131" t="s">
        <v>710</v>
      </c>
      <c r="P12" s="131" t="s">
        <v>711</v>
      </c>
      <c r="Q12" s="131" t="s">
        <v>712</v>
      </c>
      <c r="R12" s="131" t="s">
        <v>713</v>
      </c>
      <c r="S12" s="131" t="s">
        <v>299</v>
      </c>
      <c r="T12" s="131" t="s">
        <v>218</v>
      </c>
      <c r="U12" s="120" t="s">
        <v>227</v>
      </c>
      <c r="V12" s="120" t="s">
        <v>228</v>
      </c>
      <c r="W12" s="1855"/>
    </row>
    <row r="13" spans="1:23" s="354" customFormat="1" ht="21.65" customHeight="1">
      <c r="A13" s="352"/>
      <c r="B13" s="364" t="s">
        <v>198</v>
      </c>
      <c r="C13" s="364"/>
      <c r="D13" s="290" t="s">
        <v>397</v>
      </c>
      <c r="E13" s="364"/>
      <c r="F13" s="290" t="s">
        <v>398</v>
      </c>
      <c r="G13" s="290" t="s">
        <v>398</v>
      </c>
      <c r="H13" s="290" t="s">
        <v>304</v>
      </c>
      <c r="I13" s="290" t="s">
        <v>252</v>
      </c>
      <c r="J13" s="290" t="s">
        <v>204</v>
      </c>
      <c r="K13" s="125" t="s">
        <v>374</v>
      </c>
      <c r="L13" s="131"/>
      <c r="M13" s="362" t="s">
        <v>397</v>
      </c>
      <c r="N13" s="368"/>
      <c r="O13" s="362" t="s">
        <v>398</v>
      </c>
      <c r="P13" s="362" t="s">
        <v>398</v>
      </c>
      <c r="Q13" s="362" t="s">
        <v>304</v>
      </c>
      <c r="R13" s="362" t="s">
        <v>252</v>
      </c>
      <c r="S13" s="362" t="s">
        <v>204</v>
      </c>
      <c r="T13" s="131" t="s">
        <v>374</v>
      </c>
      <c r="U13" s="117" t="s">
        <v>204</v>
      </c>
      <c r="V13" s="120" t="s">
        <v>374</v>
      </c>
      <c r="W13" s="1855"/>
    </row>
    <row r="14" spans="1:23" s="451" customFormat="1" ht="20.149999999999999" customHeight="1" thickBot="1">
      <c r="A14" s="449"/>
      <c r="B14" s="935" t="s">
        <v>255</v>
      </c>
      <c r="C14" s="936" t="s">
        <v>399</v>
      </c>
      <c r="D14" s="1215">
        <v>500</v>
      </c>
      <c r="E14" s="936" t="s">
        <v>400</v>
      </c>
      <c r="F14" s="1215">
        <v>379</v>
      </c>
      <c r="G14" s="1215">
        <v>1901</v>
      </c>
      <c r="H14" s="1222">
        <f>IF(OR(D14="", IFERROR(D14*1, "Error")="Error"), "", IF(D14&lt;=500, 0.4, 0.5))</f>
        <v>0.4</v>
      </c>
      <c r="I14" s="1223">
        <f>24*365</f>
        <v>8760</v>
      </c>
      <c r="J14" s="1217">
        <f>IF(COUNT(F14, G14, H14, I14)&lt;4, "", IFERROR((F14+G14*H14^2)*I14/1000, ""))</f>
        <v>5984.481600000001</v>
      </c>
      <c r="K14" s="1217">
        <f>IF(J14="", "", IFERROR(J14*'(参考)排出係数'!$F$3, ""))</f>
        <v>2573.3270880000005</v>
      </c>
      <c r="L14" s="936" t="s">
        <v>401</v>
      </c>
      <c r="M14" s="1215">
        <v>100</v>
      </c>
      <c r="N14" s="936" t="s">
        <v>400</v>
      </c>
      <c r="O14" s="1215">
        <v>150</v>
      </c>
      <c r="P14" s="1187">
        <v>1380</v>
      </c>
      <c r="Q14" s="1222">
        <f>IF(M14="","",IF(M14&lt;=500,0.4,0.5))</f>
        <v>0.4</v>
      </c>
      <c r="R14" s="1224">
        <f>IF(I14="","",I14)</f>
        <v>8760</v>
      </c>
      <c r="S14" s="1218">
        <f>IFERROR((O14+P14*Q14^2)*R14/1000,"")</f>
        <v>3248.2080000000005</v>
      </c>
      <c r="T14" s="1217">
        <f>IF(S14="", "", IFERROR(S14*'(参考)排出係数'!$F$3, ""))</f>
        <v>1396.7294400000003</v>
      </c>
      <c r="U14" s="1217">
        <f>IF(OR(J14="", S14=""), "", IFERROR(J14-S14, ""))</f>
        <v>2736.2736000000004</v>
      </c>
      <c r="V14" s="1217">
        <f>IF(OR(K14="", T14=""), "", IFERROR(K14-T14, ""))</f>
        <v>1176.5976480000002</v>
      </c>
      <c r="W14" s="450"/>
    </row>
    <row r="15" spans="1:23" s="354" customFormat="1" ht="20.149999999999999" customHeight="1" thickTop="1" thickBot="1">
      <c r="A15" s="352"/>
      <c r="B15" s="932" t="s">
        <v>402</v>
      </c>
      <c r="C15" s="1108"/>
      <c r="D15" s="934">
        <f>SUM(D16:D35)</f>
        <v>0</v>
      </c>
      <c r="E15" s="1108"/>
      <c r="F15" s="1216">
        <f>SUM(F16:F35)</f>
        <v>0</v>
      </c>
      <c r="G15" s="934">
        <f>SUM(G16:G35)</f>
        <v>0</v>
      </c>
      <c r="H15" s="1109"/>
      <c r="I15" s="1225"/>
      <c r="J15" s="934">
        <f>SUM(J16:J35)</f>
        <v>0</v>
      </c>
      <c r="K15" s="934">
        <f>SUM(K16:K35)</f>
        <v>0</v>
      </c>
      <c r="L15" s="1108"/>
      <c r="M15" s="934">
        <f>SUM(M16:M35)</f>
        <v>0</v>
      </c>
      <c r="N15" s="1108"/>
      <c r="O15" s="1216">
        <f>SUM(O16:O35)</f>
        <v>0</v>
      </c>
      <c r="P15" s="934">
        <f>SUM(P16:P35)</f>
        <v>0</v>
      </c>
      <c r="Q15" s="1109"/>
      <c r="R15" s="1225"/>
      <c r="S15" s="1216">
        <f>SUM(S16:S35)</f>
        <v>0</v>
      </c>
      <c r="T15" s="934">
        <f>SUM(T16:T35)</f>
        <v>0</v>
      </c>
      <c r="U15" s="934">
        <f>SUM(U16:U35)</f>
        <v>0</v>
      </c>
      <c r="V15" s="1192">
        <f>SUM(V16:V35)</f>
        <v>0</v>
      </c>
      <c r="W15" s="939"/>
    </row>
    <row r="16" spans="1:23" s="354" customFormat="1" ht="20.149999999999999" customHeight="1" thickTop="1">
      <c r="A16" s="352"/>
      <c r="B16" s="931" t="s">
        <v>315</v>
      </c>
      <c r="C16" s="1387"/>
      <c r="D16" s="1388"/>
      <c r="E16" s="1387"/>
      <c r="F16" s="1388"/>
      <c r="G16" s="1388"/>
      <c r="H16" s="1389" t="str">
        <f t="shared" ref="H16:H35" si="1">IF(OR(D16="", IFERROR(D16*1, "Error")="Error"), "", IF(D16&lt;=500, 0.4, 0.5))</f>
        <v/>
      </c>
      <c r="I16" s="1390"/>
      <c r="J16" s="1391" t="str">
        <f t="shared" ref="J16:J35" si="2">IF(COUNT(F16, G16, H16, I16)&lt;4, "", IFERROR((F16+G16*H16^2)*I16/1000, ""))</f>
        <v/>
      </c>
      <c r="K16" s="1391" t="str">
        <f>IF(J16="", "", IFERROR(J16*'(参考)排出係数'!$F$3, ""))</f>
        <v/>
      </c>
      <c r="L16" s="1387"/>
      <c r="M16" s="1388"/>
      <c r="N16" s="1387"/>
      <c r="O16" s="1388"/>
      <c r="P16" s="1388"/>
      <c r="Q16" s="1392" t="str">
        <f>IF(M16="","",IF(M16&lt;=500,0.4,0.5))</f>
        <v/>
      </c>
      <c r="R16" s="1393" t="str">
        <f>IF(I16="","",I16)</f>
        <v/>
      </c>
      <c r="S16" s="1394" t="str">
        <f t="shared" ref="S16:S35" si="3">IFERROR((O16+P16*Q16^2)*R16/1000,"")</f>
        <v/>
      </c>
      <c r="T16" s="1391" t="str">
        <f>IF(S16="", "", IFERROR(S16*'(参考)排出係数'!$F$3, ""))</f>
        <v/>
      </c>
      <c r="U16" s="1391" t="str">
        <f t="shared" ref="U16:U35" si="4">IF(OR(J16="", S16=""), "", IFERROR(J16-S16, ""))</f>
        <v/>
      </c>
      <c r="V16" s="1391" t="str">
        <f t="shared" ref="V16:V35" si="5">IF(OR(K16="", T16=""), "", IFERROR(K16-T16, ""))</f>
        <v/>
      </c>
      <c r="W16" s="452"/>
    </row>
    <row r="17" spans="1:23" s="354" customFormat="1" ht="20.149999999999999" customHeight="1">
      <c r="A17" s="352"/>
      <c r="B17" s="373" t="s">
        <v>316</v>
      </c>
      <c r="C17" s="1395"/>
      <c r="D17" s="1396"/>
      <c r="E17" s="1395"/>
      <c r="F17" s="1396"/>
      <c r="G17" s="1396"/>
      <c r="H17" s="1397" t="str">
        <f t="shared" si="1"/>
        <v/>
      </c>
      <c r="I17" s="1398"/>
      <c r="J17" s="1399" t="str">
        <f t="shared" si="2"/>
        <v/>
      </c>
      <c r="K17" s="1399" t="str">
        <f>IF(J17="", "", IFERROR(J17*'(参考)排出係数'!$F$3, ""))</f>
        <v/>
      </c>
      <c r="L17" s="1395"/>
      <c r="M17" s="1396"/>
      <c r="N17" s="1395"/>
      <c r="O17" s="1396"/>
      <c r="P17" s="1396"/>
      <c r="Q17" s="1400" t="str">
        <f t="shared" ref="Q17:Q35" si="6">IF(M17="","",IF(M17&lt;=500,0.4,0.5))</f>
        <v/>
      </c>
      <c r="R17" s="1401" t="str">
        <f t="shared" ref="R17:R35" si="7">IF(I17="","",I17)</f>
        <v/>
      </c>
      <c r="S17" s="1292" t="str">
        <f t="shared" si="3"/>
        <v/>
      </c>
      <c r="T17" s="1399" t="str">
        <f>IF(S17="", "", IFERROR(S17*'(参考)排出係数'!$F$3, ""))</f>
        <v/>
      </c>
      <c r="U17" s="1399" t="str">
        <f t="shared" si="4"/>
        <v/>
      </c>
      <c r="V17" s="1399" t="str">
        <f t="shared" si="5"/>
        <v/>
      </c>
      <c r="W17" s="452"/>
    </row>
    <row r="18" spans="1:23" s="354" customFormat="1" ht="20.149999999999999" customHeight="1">
      <c r="A18" s="352"/>
      <c r="B18" s="373" t="s">
        <v>317</v>
      </c>
      <c r="C18" s="1395"/>
      <c r="D18" s="1396"/>
      <c r="E18" s="1395"/>
      <c r="F18" s="1396"/>
      <c r="G18" s="1396"/>
      <c r="H18" s="1397" t="str">
        <f t="shared" si="1"/>
        <v/>
      </c>
      <c r="I18" s="1398"/>
      <c r="J18" s="1399" t="str">
        <f t="shared" si="2"/>
        <v/>
      </c>
      <c r="K18" s="1399" t="str">
        <f>IF(J18="", "", IFERROR(J18*'(参考)排出係数'!$F$3, ""))</f>
        <v/>
      </c>
      <c r="L18" s="1395"/>
      <c r="M18" s="1396"/>
      <c r="N18" s="1395"/>
      <c r="O18" s="1396"/>
      <c r="P18" s="1396"/>
      <c r="Q18" s="1400" t="str">
        <f t="shared" si="6"/>
        <v/>
      </c>
      <c r="R18" s="1401" t="str">
        <f t="shared" si="7"/>
        <v/>
      </c>
      <c r="S18" s="1292" t="str">
        <f t="shared" si="3"/>
        <v/>
      </c>
      <c r="T18" s="1399" t="str">
        <f>IF(S18="", "", IFERROR(S18*'(参考)排出係数'!$F$3, ""))</f>
        <v/>
      </c>
      <c r="U18" s="1399" t="str">
        <f t="shared" si="4"/>
        <v/>
      </c>
      <c r="V18" s="1399" t="str">
        <f t="shared" si="5"/>
        <v/>
      </c>
      <c r="W18" s="452"/>
    </row>
    <row r="19" spans="1:23" s="354" customFormat="1" ht="20.149999999999999" customHeight="1">
      <c r="A19" s="352"/>
      <c r="B19" s="373" t="s">
        <v>318</v>
      </c>
      <c r="C19" s="1395"/>
      <c r="D19" s="1396"/>
      <c r="E19" s="1395"/>
      <c r="F19" s="1396"/>
      <c r="G19" s="1396"/>
      <c r="H19" s="1397" t="str">
        <f t="shared" si="1"/>
        <v/>
      </c>
      <c r="I19" s="1398"/>
      <c r="J19" s="1399" t="str">
        <f t="shared" si="2"/>
        <v/>
      </c>
      <c r="K19" s="1399" t="str">
        <f>IF(J19="", "", IFERROR(J19*'(参考)排出係数'!$F$3, ""))</f>
        <v/>
      </c>
      <c r="L19" s="1395"/>
      <c r="M19" s="1396"/>
      <c r="N19" s="1395"/>
      <c r="O19" s="1396"/>
      <c r="P19" s="1396"/>
      <c r="Q19" s="1400" t="str">
        <f t="shared" si="6"/>
        <v/>
      </c>
      <c r="R19" s="1401" t="str">
        <f t="shared" si="7"/>
        <v/>
      </c>
      <c r="S19" s="1292" t="str">
        <f t="shared" si="3"/>
        <v/>
      </c>
      <c r="T19" s="1399" t="str">
        <f>IF(S19="", "", IFERROR(S19*'(参考)排出係数'!$F$3, ""))</f>
        <v/>
      </c>
      <c r="U19" s="1399" t="str">
        <f t="shared" si="4"/>
        <v/>
      </c>
      <c r="V19" s="1399" t="str">
        <f t="shared" si="5"/>
        <v/>
      </c>
      <c r="W19" s="452"/>
    </row>
    <row r="20" spans="1:23" s="354" customFormat="1" ht="20.149999999999999" customHeight="1">
      <c r="A20" s="352"/>
      <c r="B20" s="373" t="s">
        <v>319</v>
      </c>
      <c r="C20" s="1395"/>
      <c r="D20" s="1396"/>
      <c r="E20" s="1395"/>
      <c r="F20" s="1396"/>
      <c r="G20" s="1396"/>
      <c r="H20" s="1397" t="str">
        <f t="shared" si="1"/>
        <v/>
      </c>
      <c r="I20" s="1398"/>
      <c r="J20" s="1399" t="str">
        <f t="shared" si="2"/>
        <v/>
      </c>
      <c r="K20" s="1399" t="str">
        <f>IF(J20="", "", IFERROR(J20*'(参考)排出係数'!$F$3, ""))</f>
        <v/>
      </c>
      <c r="L20" s="1395"/>
      <c r="M20" s="1396"/>
      <c r="N20" s="1395"/>
      <c r="O20" s="1396"/>
      <c r="P20" s="1396"/>
      <c r="Q20" s="1400" t="str">
        <f t="shared" si="6"/>
        <v/>
      </c>
      <c r="R20" s="1401" t="str">
        <f t="shared" si="7"/>
        <v/>
      </c>
      <c r="S20" s="1292" t="str">
        <f t="shared" si="3"/>
        <v/>
      </c>
      <c r="T20" s="1399" t="str">
        <f>IF(S20="", "", IFERROR(S20*'(参考)排出係数'!$F$3, ""))</f>
        <v/>
      </c>
      <c r="U20" s="1399" t="str">
        <f t="shared" si="4"/>
        <v/>
      </c>
      <c r="V20" s="1399" t="str">
        <f t="shared" si="5"/>
        <v/>
      </c>
      <c r="W20" s="452"/>
    </row>
    <row r="21" spans="1:23" s="354" customFormat="1" ht="20.149999999999999" customHeight="1">
      <c r="A21" s="352"/>
      <c r="B21" s="373" t="s">
        <v>320</v>
      </c>
      <c r="C21" s="1395"/>
      <c r="D21" s="1396"/>
      <c r="E21" s="1395"/>
      <c r="F21" s="1396"/>
      <c r="G21" s="1396"/>
      <c r="H21" s="1397" t="str">
        <f t="shared" si="1"/>
        <v/>
      </c>
      <c r="I21" s="1398"/>
      <c r="J21" s="1399" t="str">
        <f t="shared" si="2"/>
        <v/>
      </c>
      <c r="K21" s="1399" t="str">
        <f>IF(J21="", "", IFERROR(J21*'(参考)排出係数'!$F$3, ""))</f>
        <v/>
      </c>
      <c r="L21" s="1395"/>
      <c r="M21" s="1396"/>
      <c r="N21" s="1395"/>
      <c r="O21" s="1396"/>
      <c r="P21" s="1396"/>
      <c r="Q21" s="1400" t="str">
        <f t="shared" si="6"/>
        <v/>
      </c>
      <c r="R21" s="1401" t="str">
        <f t="shared" si="7"/>
        <v/>
      </c>
      <c r="S21" s="1292" t="str">
        <f t="shared" si="3"/>
        <v/>
      </c>
      <c r="T21" s="1399" t="str">
        <f>IF(S21="", "", IFERROR(S21*'(参考)排出係数'!$F$3, ""))</f>
        <v/>
      </c>
      <c r="U21" s="1399" t="str">
        <f t="shared" si="4"/>
        <v/>
      </c>
      <c r="V21" s="1399" t="str">
        <f t="shared" si="5"/>
        <v/>
      </c>
      <c r="W21" s="452"/>
    </row>
    <row r="22" spans="1:23" s="354" customFormat="1" ht="20.149999999999999" customHeight="1">
      <c r="A22" s="352"/>
      <c r="B22" s="373" t="s">
        <v>321</v>
      </c>
      <c r="C22" s="1395"/>
      <c r="D22" s="1396"/>
      <c r="E22" s="1395"/>
      <c r="F22" s="1396"/>
      <c r="G22" s="1396"/>
      <c r="H22" s="1397" t="str">
        <f t="shared" si="1"/>
        <v/>
      </c>
      <c r="I22" s="1398"/>
      <c r="J22" s="1399" t="str">
        <f t="shared" si="2"/>
        <v/>
      </c>
      <c r="K22" s="1399" t="str">
        <f>IF(J22="", "", IFERROR(J22*'(参考)排出係数'!$F$3, ""))</f>
        <v/>
      </c>
      <c r="L22" s="1395"/>
      <c r="M22" s="1396"/>
      <c r="N22" s="1395"/>
      <c r="O22" s="1396"/>
      <c r="P22" s="1396"/>
      <c r="Q22" s="1400" t="str">
        <f t="shared" si="6"/>
        <v/>
      </c>
      <c r="R22" s="1401" t="str">
        <f t="shared" si="7"/>
        <v/>
      </c>
      <c r="S22" s="1292" t="str">
        <f t="shared" si="3"/>
        <v/>
      </c>
      <c r="T22" s="1399" t="str">
        <f>IF(S22="", "", IFERROR(S22*'(参考)排出係数'!$F$3, ""))</f>
        <v/>
      </c>
      <c r="U22" s="1399" t="str">
        <f t="shared" si="4"/>
        <v/>
      </c>
      <c r="V22" s="1399" t="str">
        <f t="shared" si="5"/>
        <v/>
      </c>
      <c r="W22" s="452"/>
    </row>
    <row r="23" spans="1:23" s="354" customFormat="1" ht="20.149999999999999" customHeight="1">
      <c r="A23" s="352"/>
      <c r="B23" s="373" t="s">
        <v>322</v>
      </c>
      <c r="C23" s="1395"/>
      <c r="D23" s="1396"/>
      <c r="E23" s="1395"/>
      <c r="F23" s="1396"/>
      <c r="G23" s="1396"/>
      <c r="H23" s="1397" t="str">
        <f t="shared" si="1"/>
        <v/>
      </c>
      <c r="I23" s="1398"/>
      <c r="J23" s="1399" t="str">
        <f t="shared" si="2"/>
        <v/>
      </c>
      <c r="K23" s="1399" t="str">
        <f>IF(J23="", "", IFERROR(J23*'(参考)排出係数'!$F$3, ""))</f>
        <v/>
      </c>
      <c r="L23" s="1395"/>
      <c r="M23" s="1396"/>
      <c r="N23" s="1395"/>
      <c r="O23" s="1396"/>
      <c r="P23" s="1396"/>
      <c r="Q23" s="1400" t="str">
        <f t="shared" si="6"/>
        <v/>
      </c>
      <c r="R23" s="1401" t="str">
        <f t="shared" si="7"/>
        <v/>
      </c>
      <c r="S23" s="1292" t="str">
        <f t="shared" si="3"/>
        <v/>
      </c>
      <c r="T23" s="1399" t="str">
        <f>IF(S23="", "", IFERROR(S23*'(参考)排出係数'!$F$3, ""))</f>
        <v/>
      </c>
      <c r="U23" s="1399" t="str">
        <f t="shared" si="4"/>
        <v/>
      </c>
      <c r="V23" s="1399" t="str">
        <f t="shared" si="5"/>
        <v/>
      </c>
      <c r="W23" s="452"/>
    </row>
    <row r="24" spans="1:23" s="354" customFormat="1" ht="20.149999999999999" customHeight="1">
      <c r="A24" s="352"/>
      <c r="B24" s="373" t="s">
        <v>323</v>
      </c>
      <c r="C24" s="1395"/>
      <c r="D24" s="1396"/>
      <c r="E24" s="1395"/>
      <c r="F24" s="1396"/>
      <c r="G24" s="1396"/>
      <c r="H24" s="1397" t="str">
        <f t="shared" si="1"/>
        <v/>
      </c>
      <c r="I24" s="1398"/>
      <c r="J24" s="1399" t="str">
        <f t="shared" si="2"/>
        <v/>
      </c>
      <c r="K24" s="1399" t="str">
        <f>IF(J24="", "", IFERROR(J24*'(参考)排出係数'!$F$3, ""))</f>
        <v/>
      </c>
      <c r="L24" s="1395"/>
      <c r="M24" s="1396"/>
      <c r="N24" s="1395"/>
      <c r="O24" s="1396"/>
      <c r="P24" s="1396"/>
      <c r="Q24" s="1400" t="str">
        <f t="shared" si="6"/>
        <v/>
      </c>
      <c r="R24" s="1401" t="str">
        <f t="shared" si="7"/>
        <v/>
      </c>
      <c r="S24" s="1292" t="str">
        <f t="shared" si="3"/>
        <v/>
      </c>
      <c r="T24" s="1399" t="str">
        <f>IF(S24="", "", IFERROR(S24*'(参考)排出係数'!$F$3, ""))</f>
        <v/>
      </c>
      <c r="U24" s="1399" t="str">
        <f t="shared" si="4"/>
        <v/>
      </c>
      <c r="V24" s="1399" t="str">
        <f t="shared" si="5"/>
        <v/>
      </c>
      <c r="W24" s="452"/>
    </row>
    <row r="25" spans="1:23" s="354" customFormat="1" ht="20.149999999999999" customHeight="1">
      <c r="A25" s="352"/>
      <c r="B25" s="373" t="s">
        <v>324</v>
      </c>
      <c r="C25" s="1395"/>
      <c r="D25" s="1396"/>
      <c r="E25" s="1395"/>
      <c r="F25" s="1396"/>
      <c r="G25" s="1396"/>
      <c r="H25" s="1397" t="str">
        <f t="shared" si="1"/>
        <v/>
      </c>
      <c r="I25" s="1398"/>
      <c r="J25" s="1399" t="str">
        <f t="shared" si="2"/>
        <v/>
      </c>
      <c r="K25" s="1399" t="str">
        <f>IF(J25="", "", IFERROR(J25*'(参考)排出係数'!$F$3, ""))</f>
        <v/>
      </c>
      <c r="L25" s="1395"/>
      <c r="M25" s="1396"/>
      <c r="N25" s="1395"/>
      <c r="O25" s="1396"/>
      <c r="P25" s="1396"/>
      <c r="Q25" s="1400" t="str">
        <f t="shared" si="6"/>
        <v/>
      </c>
      <c r="R25" s="1401" t="str">
        <f t="shared" si="7"/>
        <v/>
      </c>
      <c r="S25" s="1292" t="str">
        <f t="shared" si="3"/>
        <v/>
      </c>
      <c r="T25" s="1399" t="str">
        <f>IF(S25="", "", IFERROR(S25*'(参考)排出係数'!$F$3, ""))</f>
        <v/>
      </c>
      <c r="U25" s="1399" t="str">
        <f t="shared" si="4"/>
        <v/>
      </c>
      <c r="V25" s="1399" t="str">
        <f t="shared" si="5"/>
        <v/>
      </c>
      <c r="W25" s="452"/>
    </row>
    <row r="26" spans="1:23" s="354" customFormat="1" ht="20.149999999999999" customHeight="1">
      <c r="A26" s="352"/>
      <c r="B26" s="373" t="s">
        <v>423</v>
      </c>
      <c r="C26" s="1395"/>
      <c r="D26" s="1396"/>
      <c r="E26" s="1395"/>
      <c r="F26" s="1396"/>
      <c r="G26" s="1396"/>
      <c r="H26" s="1397" t="str">
        <f t="shared" si="1"/>
        <v/>
      </c>
      <c r="I26" s="1398"/>
      <c r="J26" s="1399" t="str">
        <f t="shared" si="2"/>
        <v/>
      </c>
      <c r="K26" s="1399" t="str">
        <f>IF(J26="", "", IFERROR(J26*'(参考)排出係数'!$F$3, ""))</f>
        <v/>
      </c>
      <c r="L26" s="1395"/>
      <c r="M26" s="1396"/>
      <c r="N26" s="1395"/>
      <c r="O26" s="1396"/>
      <c r="P26" s="1396"/>
      <c r="Q26" s="1400" t="str">
        <f t="shared" si="6"/>
        <v/>
      </c>
      <c r="R26" s="1401" t="str">
        <f t="shared" si="7"/>
        <v/>
      </c>
      <c r="S26" s="1292" t="str">
        <f t="shared" si="3"/>
        <v/>
      </c>
      <c r="T26" s="1399" t="str">
        <f>IF(S26="", "", IFERROR(S26*'(参考)排出係数'!$F$3, ""))</f>
        <v/>
      </c>
      <c r="U26" s="1399" t="str">
        <f t="shared" si="4"/>
        <v/>
      </c>
      <c r="V26" s="1399" t="str">
        <f t="shared" si="5"/>
        <v/>
      </c>
      <c r="W26" s="452"/>
    </row>
    <row r="27" spans="1:23" s="354" customFormat="1" ht="20.149999999999999" customHeight="1">
      <c r="A27" s="352"/>
      <c r="B27" s="373" t="s">
        <v>424</v>
      </c>
      <c r="C27" s="1395"/>
      <c r="D27" s="1396"/>
      <c r="E27" s="1395"/>
      <c r="F27" s="1396"/>
      <c r="G27" s="1396"/>
      <c r="H27" s="1397" t="str">
        <f t="shared" si="1"/>
        <v/>
      </c>
      <c r="I27" s="1398"/>
      <c r="J27" s="1399" t="str">
        <f t="shared" si="2"/>
        <v/>
      </c>
      <c r="K27" s="1399" t="str">
        <f>IF(J27="", "", IFERROR(J27*'(参考)排出係数'!$F$3, ""))</f>
        <v/>
      </c>
      <c r="L27" s="1395"/>
      <c r="M27" s="1396"/>
      <c r="N27" s="1395"/>
      <c r="O27" s="1396"/>
      <c r="P27" s="1396"/>
      <c r="Q27" s="1400" t="str">
        <f t="shared" si="6"/>
        <v/>
      </c>
      <c r="R27" s="1401" t="str">
        <f t="shared" si="7"/>
        <v/>
      </c>
      <c r="S27" s="1292" t="str">
        <f t="shared" si="3"/>
        <v/>
      </c>
      <c r="T27" s="1399" t="str">
        <f>IF(S27="", "", IFERROR(S27*'(参考)排出係数'!$F$3, ""))</f>
        <v/>
      </c>
      <c r="U27" s="1399" t="str">
        <f t="shared" si="4"/>
        <v/>
      </c>
      <c r="V27" s="1399" t="str">
        <f t="shared" si="5"/>
        <v/>
      </c>
      <c r="W27" s="452"/>
    </row>
    <row r="28" spans="1:23" s="354" customFormat="1" ht="20.149999999999999" customHeight="1">
      <c r="A28" s="352"/>
      <c r="B28" s="373" t="s">
        <v>425</v>
      </c>
      <c r="C28" s="1395"/>
      <c r="D28" s="1396"/>
      <c r="E28" s="1395"/>
      <c r="F28" s="1396"/>
      <c r="G28" s="1396"/>
      <c r="H28" s="1397" t="str">
        <f t="shared" si="1"/>
        <v/>
      </c>
      <c r="I28" s="1398"/>
      <c r="J28" s="1399" t="str">
        <f t="shared" si="2"/>
        <v/>
      </c>
      <c r="K28" s="1399" t="str">
        <f>IF(J28="", "", IFERROR(J28*'(参考)排出係数'!$F$3, ""))</f>
        <v/>
      </c>
      <c r="L28" s="1395"/>
      <c r="M28" s="1396"/>
      <c r="N28" s="1395"/>
      <c r="O28" s="1396"/>
      <c r="P28" s="1396"/>
      <c r="Q28" s="1400" t="str">
        <f t="shared" si="6"/>
        <v/>
      </c>
      <c r="R28" s="1401" t="str">
        <f t="shared" si="7"/>
        <v/>
      </c>
      <c r="S28" s="1292" t="str">
        <f t="shared" si="3"/>
        <v/>
      </c>
      <c r="T28" s="1399" t="str">
        <f>IF(S28="", "", IFERROR(S28*'(参考)排出係数'!$F$3, ""))</f>
        <v/>
      </c>
      <c r="U28" s="1399" t="str">
        <f t="shared" si="4"/>
        <v/>
      </c>
      <c r="V28" s="1399" t="str">
        <f t="shared" si="5"/>
        <v/>
      </c>
      <c r="W28" s="452"/>
    </row>
    <row r="29" spans="1:23" s="354" customFormat="1" ht="20.149999999999999" customHeight="1">
      <c r="A29" s="352"/>
      <c r="B29" s="373" t="s">
        <v>426</v>
      </c>
      <c r="C29" s="1395"/>
      <c r="D29" s="1396"/>
      <c r="E29" s="1395"/>
      <c r="F29" s="1396"/>
      <c r="G29" s="1396"/>
      <c r="H29" s="1397" t="str">
        <f t="shared" si="1"/>
        <v/>
      </c>
      <c r="I29" s="1398"/>
      <c r="J29" s="1399" t="str">
        <f t="shared" si="2"/>
        <v/>
      </c>
      <c r="K29" s="1399" t="str">
        <f>IF(J29="", "", IFERROR(J29*'(参考)排出係数'!$F$3, ""))</f>
        <v/>
      </c>
      <c r="L29" s="1395"/>
      <c r="M29" s="1396"/>
      <c r="N29" s="1395"/>
      <c r="O29" s="1396"/>
      <c r="P29" s="1396"/>
      <c r="Q29" s="1400" t="str">
        <f t="shared" si="6"/>
        <v/>
      </c>
      <c r="R29" s="1401" t="str">
        <f t="shared" si="7"/>
        <v/>
      </c>
      <c r="S29" s="1292" t="str">
        <f t="shared" si="3"/>
        <v/>
      </c>
      <c r="T29" s="1399" t="str">
        <f>IF(S29="", "", IFERROR(S29*'(参考)排出係数'!$F$3, ""))</f>
        <v/>
      </c>
      <c r="U29" s="1399" t="str">
        <f t="shared" si="4"/>
        <v/>
      </c>
      <c r="V29" s="1399" t="str">
        <f t="shared" si="5"/>
        <v/>
      </c>
      <c r="W29" s="452"/>
    </row>
    <row r="30" spans="1:23" s="354" customFormat="1" ht="20.149999999999999" customHeight="1">
      <c r="A30" s="352"/>
      <c r="B30" s="373" t="s">
        <v>427</v>
      </c>
      <c r="C30" s="1395"/>
      <c r="D30" s="1396"/>
      <c r="E30" s="1395"/>
      <c r="F30" s="1396"/>
      <c r="G30" s="1396"/>
      <c r="H30" s="1397" t="str">
        <f t="shared" si="1"/>
        <v/>
      </c>
      <c r="I30" s="1398"/>
      <c r="J30" s="1399" t="str">
        <f t="shared" si="2"/>
        <v/>
      </c>
      <c r="K30" s="1399" t="str">
        <f>IF(J30="", "", IFERROR(J30*'(参考)排出係数'!$F$3, ""))</f>
        <v/>
      </c>
      <c r="L30" s="1395"/>
      <c r="M30" s="1396"/>
      <c r="N30" s="1395"/>
      <c r="O30" s="1396"/>
      <c r="P30" s="1396"/>
      <c r="Q30" s="1400" t="str">
        <f t="shared" si="6"/>
        <v/>
      </c>
      <c r="R30" s="1401" t="str">
        <f t="shared" si="7"/>
        <v/>
      </c>
      <c r="S30" s="1292" t="str">
        <f t="shared" si="3"/>
        <v/>
      </c>
      <c r="T30" s="1399" t="str">
        <f>IF(S30="", "", IFERROR(S30*'(参考)排出係数'!$F$3, ""))</f>
        <v/>
      </c>
      <c r="U30" s="1399" t="str">
        <f t="shared" si="4"/>
        <v/>
      </c>
      <c r="V30" s="1399" t="str">
        <f t="shared" si="5"/>
        <v/>
      </c>
      <c r="W30" s="452"/>
    </row>
    <row r="31" spans="1:23" s="354" customFormat="1" ht="20.149999999999999" customHeight="1">
      <c r="A31" s="352"/>
      <c r="B31" s="373" t="s">
        <v>428</v>
      </c>
      <c r="C31" s="1395"/>
      <c r="D31" s="1396"/>
      <c r="E31" s="1395"/>
      <c r="F31" s="1396"/>
      <c r="G31" s="1396"/>
      <c r="H31" s="1397" t="str">
        <f t="shared" si="1"/>
        <v/>
      </c>
      <c r="I31" s="1398"/>
      <c r="J31" s="1399" t="str">
        <f t="shared" si="2"/>
        <v/>
      </c>
      <c r="K31" s="1399" t="str">
        <f>IF(J31="", "", IFERROR(J31*'(参考)排出係数'!$F$3, ""))</f>
        <v/>
      </c>
      <c r="L31" s="1395"/>
      <c r="M31" s="1396"/>
      <c r="N31" s="1395"/>
      <c r="O31" s="1396"/>
      <c r="P31" s="1396"/>
      <c r="Q31" s="1400" t="str">
        <f t="shared" si="6"/>
        <v/>
      </c>
      <c r="R31" s="1401" t="str">
        <f t="shared" si="7"/>
        <v/>
      </c>
      <c r="S31" s="1292" t="str">
        <f t="shared" si="3"/>
        <v/>
      </c>
      <c r="T31" s="1399" t="str">
        <f>IF(S31="", "", IFERROR(S31*'(参考)排出係数'!$F$3, ""))</f>
        <v/>
      </c>
      <c r="U31" s="1399" t="str">
        <f t="shared" si="4"/>
        <v/>
      </c>
      <c r="V31" s="1399" t="str">
        <f t="shared" si="5"/>
        <v/>
      </c>
      <c r="W31" s="452"/>
    </row>
    <row r="32" spans="1:23" s="354" customFormat="1" ht="20.149999999999999" customHeight="1">
      <c r="A32" s="352"/>
      <c r="B32" s="373" t="s">
        <v>429</v>
      </c>
      <c r="C32" s="1395"/>
      <c r="D32" s="1396"/>
      <c r="E32" s="1395"/>
      <c r="F32" s="1396"/>
      <c r="G32" s="1396"/>
      <c r="H32" s="1397" t="str">
        <f t="shared" si="1"/>
        <v/>
      </c>
      <c r="I32" s="1398"/>
      <c r="J32" s="1399" t="str">
        <f t="shared" si="2"/>
        <v/>
      </c>
      <c r="K32" s="1399" t="str">
        <f>IF(J32="", "", IFERROR(J32*'(参考)排出係数'!$F$3, ""))</f>
        <v/>
      </c>
      <c r="L32" s="1395"/>
      <c r="M32" s="1396"/>
      <c r="N32" s="1395"/>
      <c r="O32" s="1396"/>
      <c r="P32" s="1396"/>
      <c r="Q32" s="1400" t="str">
        <f t="shared" si="6"/>
        <v/>
      </c>
      <c r="R32" s="1401" t="str">
        <f t="shared" si="7"/>
        <v/>
      </c>
      <c r="S32" s="1292" t="str">
        <f t="shared" si="3"/>
        <v/>
      </c>
      <c r="T32" s="1399" t="str">
        <f>IF(S32="", "", IFERROR(S32*'(参考)排出係数'!$F$3, ""))</f>
        <v/>
      </c>
      <c r="U32" s="1399" t="str">
        <f t="shared" si="4"/>
        <v/>
      </c>
      <c r="V32" s="1399" t="str">
        <f t="shared" si="5"/>
        <v/>
      </c>
      <c r="W32" s="452"/>
    </row>
    <row r="33" spans="1:23" s="354" customFormat="1" ht="20.149999999999999" customHeight="1">
      <c r="A33" s="352"/>
      <c r="B33" s="373" t="s">
        <v>430</v>
      </c>
      <c r="C33" s="1395"/>
      <c r="D33" s="1396"/>
      <c r="E33" s="1395"/>
      <c r="F33" s="1396"/>
      <c r="G33" s="1396"/>
      <c r="H33" s="1397" t="str">
        <f t="shared" si="1"/>
        <v/>
      </c>
      <c r="I33" s="1398"/>
      <c r="J33" s="1399" t="str">
        <f t="shared" si="2"/>
        <v/>
      </c>
      <c r="K33" s="1399" t="str">
        <f>IF(J33="", "", IFERROR(J33*'(参考)排出係数'!$F$3, ""))</f>
        <v/>
      </c>
      <c r="L33" s="1395"/>
      <c r="M33" s="1396"/>
      <c r="N33" s="1395"/>
      <c r="O33" s="1396"/>
      <c r="P33" s="1396"/>
      <c r="Q33" s="1400" t="str">
        <f t="shared" si="6"/>
        <v/>
      </c>
      <c r="R33" s="1401" t="str">
        <f t="shared" si="7"/>
        <v/>
      </c>
      <c r="S33" s="1292" t="str">
        <f t="shared" si="3"/>
        <v/>
      </c>
      <c r="T33" s="1399" t="str">
        <f>IF(S33="", "", IFERROR(S33*'(参考)排出係数'!$F$3, ""))</f>
        <v/>
      </c>
      <c r="U33" s="1399" t="str">
        <f t="shared" si="4"/>
        <v/>
      </c>
      <c r="V33" s="1399" t="str">
        <f t="shared" si="5"/>
        <v/>
      </c>
      <c r="W33" s="452"/>
    </row>
    <row r="34" spans="1:23" s="354" customFormat="1" ht="20.149999999999999" customHeight="1">
      <c r="A34" s="352"/>
      <c r="B34" s="373" t="s">
        <v>431</v>
      </c>
      <c r="C34" s="1395"/>
      <c r="D34" s="1396"/>
      <c r="E34" s="1395"/>
      <c r="F34" s="1396"/>
      <c r="G34" s="1396"/>
      <c r="H34" s="1397" t="str">
        <f t="shared" si="1"/>
        <v/>
      </c>
      <c r="I34" s="1398"/>
      <c r="J34" s="1399" t="str">
        <f t="shared" si="2"/>
        <v/>
      </c>
      <c r="K34" s="1399" t="str">
        <f>IF(J34="", "", IFERROR(J34*'(参考)排出係数'!$F$3, ""))</f>
        <v/>
      </c>
      <c r="L34" s="1395"/>
      <c r="M34" s="1396"/>
      <c r="N34" s="1395"/>
      <c r="O34" s="1396"/>
      <c r="P34" s="1396"/>
      <c r="Q34" s="1400" t="str">
        <f t="shared" si="6"/>
        <v/>
      </c>
      <c r="R34" s="1401" t="str">
        <f t="shared" si="7"/>
        <v/>
      </c>
      <c r="S34" s="1292" t="str">
        <f t="shared" si="3"/>
        <v/>
      </c>
      <c r="T34" s="1399" t="str">
        <f>IF(S34="", "", IFERROR(S34*'(参考)排出係数'!$F$3, ""))</f>
        <v/>
      </c>
      <c r="U34" s="1399" t="str">
        <f t="shared" si="4"/>
        <v/>
      </c>
      <c r="V34" s="1399" t="str">
        <f t="shared" si="5"/>
        <v/>
      </c>
      <c r="W34" s="452"/>
    </row>
    <row r="35" spans="1:23" s="354" customFormat="1" ht="20.149999999999999" customHeight="1">
      <c r="A35" s="352"/>
      <c r="B35" s="373" t="s">
        <v>432</v>
      </c>
      <c r="C35" s="1395"/>
      <c r="D35" s="1396"/>
      <c r="E35" s="1395"/>
      <c r="F35" s="1396"/>
      <c r="G35" s="1396"/>
      <c r="H35" s="1397" t="str">
        <f t="shared" si="1"/>
        <v/>
      </c>
      <c r="I35" s="1398"/>
      <c r="J35" s="1399" t="str">
        <f t="shared" si="2"/>
        <v/>
      </c>
      <c r="K35" s="1399" t="str">
        <f>IF(J35="", "", IFERROR(J35*'(参考)排出係数'!$F$3, ""))</f>
        <v/>
      </c>
      <c r="L35" s="1395"/>
      <c r="M35" s="1396"/>
      <c r="N35" s="1395"/>
      <c r="O35" s="1396"/>
      <c r="P35" s="1396"/>
      <c r="Q35" s="1400" t="str">
        <f t="shared" si="6"/>
        <v/>
      </c>
      <c r="R35" s="1401" t="str">
        <f t="shared" si="7"/>
        <v/>
      </c>
      <c r="S35" s="1292" t="str">
        <f t="shared" si="3"/>
        <v/>
      </c>
      <c r="T35" s="1399" t="str">
        <f>IF(S35="", "", IFERROR(S35*'(参考)排出係数'!$F$3, ""))</f>
        <v/>
      </c>
      <c r="U35" s="1399" t="str">
        <f t="shared" si="4"/>
        <v/>
      </c>
      <c r="V35" s="1399" t="str">
        <f t="shared" si="5"/>
        <v/>
      </c>
      <c r="W35" s="452"/>
    </row>
    <row r="36" spans="1:23" s="380" customFormat="1" ht="12">
      <c r="A36" s="379"/>
      <c r="B36" s="379"/>
      <c r="C36" s="379"/>
      <c r="D36" s="379"/>
      <c r="E36" s="379"/>
      <c r="F36" s="379"/>
      <c r="G36" s="379"/>
      <c r="H36" s="379"/>
      <c r="I36" s="379"/>
      <c r="J36" s="379"/>
      <c r="K36" s="379"/>
      <c r="L36" s="379"/>
      <c r="M36" s="379"/>
      <c r="N36" s="379"/>
      <c r="O36" s="379"/>
      <c r="P36" s="379"/>
      <c r="Q36" s="379"/>
      <c r="R36" s="379"/>
      <c r="S36" s="379"/>
      <c r="T36" s="379"/>
      <c r="U36" s="379"/>
      <c r="V36" s="379"/>
      <c r="W36" s="379"/>
    </row>
  </sheetData>
  <protectedRanges>
    <protectedRange sqref="L4:U4 C16:G35 I16:I35 L16:P35" name="範囲1"/>
  </protectedRanges>
  <mergeCells count="2">
    <mergeCell ref="B11:B12"/>
    <mergeCell ref="W11:W13"/>
  </mergeCells>
  <phoneticPr fontId="2"/>
  <conditionalFormatting sqref="G7">
    <cfRule type="expression" dxfId="42" priority="4">
      <formula>$E$1="なし"</formula>
    </cfRule>
  </conditionalFormatting>
  <conditionalFormatting sqref="I7">
    <cfRule type="expression" dxfId="41" priority="5">
      <formula>$E$1="なし"</formula>
    </cfRule>
  </conditionalFormatting>
  <conditionalFormatting sqref="M15">
    <cfRule type="cellIs" dxfId="40" priority="3" operator="greaterThan">
      <formula>$D$15</formula>
    </cfRule>
  </conditionalFormatting>
  <conditionalFormatting sqref="M7:U7">
    <cfRule type="expression" dxfId="39" priority="1">
      <formula>$M$5="増加"</formula>
    </cfRule>
  </conditionalFormatting>
  <pageMargins left="0.7" right="0.7" top="0.75" bottom="0.75" header="0.3" footer="0.3"/>
  <pageSetup paperSize="8" scale="80" orientation="landscape" r:id="rId1"/>
  <ignoredErrors>
    <ignoredError sqref="H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F7985-C985-4AB8-B883-145943006A2C}">
  <sheetPr codeName="Sheet3">
    <tabColor rgb="FFFFFF00"/>
    <pageSetUpPr fitToPage="1"/>
  </sheetPr>
  <dimension ref="A1:AU96"/>
  <sheetViews>
    <sheetView topLeftCell="A3" zoomScale="70" zoomScaleNormal="70" zoomScaleSheetLayoutView="50" workbookViewId="0">
      <selection activeCell="A3" sqref="A3"/>
    </sheetView>
  </sheetViews>
  <sheetFormatPr defaultColWidth="10.58203125" defaultRowHeight="18.75" customHeight="1"/>
  <cols>
    <col min="1" max="1" width="8.1640625" style="4" customWidth="1"/>
    <col min="2" max="3" width="11.58203125" style="4" customWidth="1"/>
    <col min="4" max="4" width="10.58203125" style="4" customWidth="1"/>
    <col min="5" max="16" width="10.9140625" style="4" customWidth="1"/>
    <col min="17" max="17" width="13.33203125" style="4" customWidth="1"/>
    <col min="18" max="18" width="2.25" style="4" customWidth="1"/>
    <col min="19" max="19" width="10.58203125" style="4"/>
    <col min="20" max="20" width="31.25" style="4" customWidth="1"/>
    <col min="21" max="33" width="10.58203125" style="4" customWidth="1"/>
    <col min="34" max="34" width="23.5" style="4" customWidth="1"/>
    <col min="35" max="16384" width="10.58203125" style="4"/>
  </cols>
  <sheetData>
    <row r="1" spans="1:47" ht="30" hidden="1" customHeight="1">
      <c r="A1" s="107" t="s">
        <v>555</v>
      </c>
    </row>
    <row r="2" spans="1:47" ht="18.75" hidden="1" customHeight="1">
      <c r="A2" s="107"/>
    </row>
    <row r="3" spans="1:47" ht="18.75" customHeight="1">
      <c r="A3" s="107"/>
    </row>
    <row r="4" spans="1:47" ht="18.75" customHeight="1">
      <c r="A4" s="107"/>
    </row>
    <row r="5" spans="1:47" ht="18.75" customHeight="1">
      <c r="A5" s="107"/>
    </row>
    <row r="6" spans="1:47" ht="18.75" customHeight="1">
      <c r="A6" s="107"/>
    </row>
    <row r="7" spans="1:47" ht="18.75" customHeight="1">
      <c r="AH7" s="1499" t="s">
        <v>78</v>
      </c>
      <c r="AI7" s="7" t="s">
        <v>25</v>
      </c>
      <c r="AJ7" s="12"/>
      <c r="AK7" s="12"/>
      <c r="AL7" s="12"/>
      <c r="AM7" s="12"/>
      <c r="AN7" s="12"/>
      <c r="AO7" s="12"/>
      <c r="AP7" s="12"/>
      <c r="AQ7" s="12"/>
      <c r="AR7" s="12"/>
      <c r="AS7" s="12"/>
      <c r="AT7" s="8"/>
    </row>
    <row r="8" spans="1:47" ht="54" customHeight="1">
      <c r="B8" s="982" t="s">
        <v>1189</v>
      </c>
      <c r="AH8" s="1500"/>
      <c r="AI8" s="588">
        <f>$E$11</f>
        <v>4</v>
      </c>
      <c r="AJ8" s="588">
        <f>MOD($E11+COLUMN(A1)-1, 12)+1</f>
        <v>5</v>
      </c>
      <c r="AK8" s="588">
        <f t="shared" ref="AK8:AT8" si="0">MOD($E11+COLUMN(B1)-1, 12)+1</f>
        <v>6</v>
      </c>
      <c r="AL8" s="588">
        <f t="shared" si="0"/>
        <v>7</v>
      </c>
      <c r="AM8" s="588">
        <f t="shared" si="0"/>
        <v>8</v>
      </c>
      <c r="AN8" s="588">
        <f t="shared" si="0"/>
        <v>9</v>
      </c>
      <c r="AO8" s="588">
        <f t="shared" si="0"/>
        <v>10</v>
      </c>
      <c r="AP8" s="588">
        <f t="shared" si="0"/>
        <v>11</v>
      </c>
      <c r="AQ8" s="588">
        <f t="shared" si="0"/>
        <v>12</v>
      </c>
      <c r="AR8" s="588">
        <f t="shared" si="0"/>
        <v>1</v>
      </c>
      <c r="AS8" s="588">
        <f t="shared" si="0"/>
        <v>2</v>
      </c>
      <c r="AT8" s="588">
        <f t="shared" si="0"/>
        <v>3</v>
      </c>
    </row>
    <row r="9" spans="1:47" ht="37" customHeight="1">
      <c r="B9" s="1022" t="s">
        <v>1176</v>
      </c>
      <c r="C9" s="600"/>
      <c r="D9" s="600"/>
      <c r="E9" s="967"/>
      <c r="F9" s="600"/>
      <c r="G9" s="600"/>
      <c r="H9" s="968"/>
      <c r="I9" s="968"/>
      <c r="J9" s="600"/>
      <c r="K9" s="600"/>
      <c r="L9" s="600"/>
      <c r="M9" s="600"/>
      <c r="N9" s="600"/>
      <c r="O9" s="600"/>
      <c r="P9" s="600"/>
      <c r="Q9" s="600"/>
      <c r="AH9" s="9" t="str">
        <f>$J$10&amp;" "&amp;$K$10&amp;" "&amp;$L$10</f>
        <v>令和  年度</v>
      </c>
      <c r="AI9" s="10">
        <f t="shared" ref="AI9:AT9" si="1">E64</f>
        <v>0</v>
      </c>
      <c r="AJ9" s="10">
        <f t="shared" si="1"/>
        <v>0</v>
      </c>
      <c r="AK9" s="10">
        <f t="shared" si="1"/>
        <v>0</v>
      </c>
      <c r="AL9" s="10">
        <f t="shared" si="1"/>
        <v>0</v>
      </c>
      <c r="AM9" s="10">
        <f t="shared" si="1"/>
        <v>0</v>
      </c>
      <c r="AN9" s="10">
        <f t="shared" si="1"/>
        <v>0</v>
      </c>
      <c r="AO9" s="10">
        <f t="shared" si="1"/>
        <v>0</v>
      </c>
      <c r="AP9" s="10">
        <f t="shared" si="1"/>
        <v>0</v>
      </c>
      <c r="AQ9" s="10">
        <f t="shared" si="1"/>
        <v>0</v>
      </c>
      <c r="AR9" s="10">
        <f t="shared" si="1"/>
        <v>0</v>
      </c>
      <c r="AS9" s="10">
        <f t="shared" si="1"/>
        <v>0</v>
      </c>
      <c r="AT9" s="10">
        <f t="shared" si="1"/>
        <v>0</v>
      </c>
    </row>
    <row r="10" spans="1:47" ht="28.5" customHeight="1">
      <c r="B10" s="986" t="s">
        <v>12</v>
      </c>
      <c r="C10" s="603"/>
      <c r="D10" s="987"/>
      <c r="E10" s="1009">
        <f>IF(E20="","",E20-1)</f>
        <v>6</v>
      </c>
      <c r="F10" s="992"/>
      <c r="G10" s="992"/>
      <c r="H10" s="992"/>
      <c r="I10" s="992"/>
      <c r="J10" s="994" t="s">
        <v>17</v>
      </c>
      <c r="K10" s="993" t="str">
        <f>実績表1!E16</f>
        <v/>
      </c>
      <c r="L10" s="995" t="s">
        <v>18</v>
      </c>
      <c r="M10" s="992"/>
      <c r="N10" s="992"/>
      <c r="O10" s="992"/>
      <c r="P10" s="992"/>
      <c r="Q10" s="997" t="s">
        <v>1175</v>
      </c>
      <c r="R10" s="231"/>
      <c r="AH10" s="9" t="str">
        <f>$J$20&amp;" "&amp;$K$20&amp;" "&amp;$L$20</f>
        <v>令和  年度</v>
      </c>
      <c r="AI10" s="10">
        <f>$E$86</f>
        <v>0</v>
      </c>
      <c r="AJ10" s="10">
        <f t="shared" ref="AJ10:AT10" si="2">F86</f>
        <v>0</v>
      </c>
      <c r="AK10" s="10">
        <f t="shared" si="2"/>
        <v>0</v>
      </c>
      <c r="AL10" s="10">
        <f t="shared" si="2"/>
        <v>0</v>
      </c>
      <c r="AM10" s="10">
        <f t="shared" si="2"/>
        <v>0</v>
      </c>
      <c r="AN10" s="10">
        <f t="shared" si="2"/>
        <v>0</v>
      </c>
      <c r="AO10" s="10">
        <f t="shared" si="2"/>
        <v>0</v>
      </c>
      <c r="AP10" s="10">
        <f t="shared" si="2"/>
        <v>0</v>
      </c>
      <c r="AQ10" s="10">
        <f t="shared" si="2"/>
        <v>0</v>
      </c>
      <c r="AR10" s="10">
        <f t="shared" si="2"/>
        <v>0</v>
      </c>
      <c r="AS10" s="10">
        <f t="shared" si="2"/>
        <v>0</v>
      </c>
      <c r="AT10" s="10">
        <f t="shared" si="2"/>
        <v>0</v>
      </c>
    </row>
    <row r="11" spans="1:47" ht="22.5" customHeight="1">
      <c r="B11" s="603" t="s">
        <v>15</v>
      </c>
      <c r="C11" s="603"/>
      <c r="D11" s="965" t="s">
        <v>7</v>
      </c>
      <c r="E11" s="1010">
        <f>E21</f>
        <v>4</v>
      </c>
      <c r="F11" s="972">
        <f>MOD($E11+COLUMN(A1)-1, 12)+1</f>
        <v>5</v>
      </c>
      <c r="G11" s="972">
        <f t="shared" ref="G11:P11" si="3">MOD($E11+COLUMN(B1)-1, 12)+1</f>
        <v>6</v>
      </c>
      <c r="H11" s="972">
        <f t="shared" si="3"/>
        <v>7</v>
      </c>
      <c r="I11" s="972">
        <f t="shared" si="3"/>
        <v>8</v>
      </c>
      <c r="J11" s="972">
        <f t="shared" si="3"/>
        <v>9</v>
      </c>
      <c r="K11" s="972">
        <f t="shared" si="3"/>
        <v>10</v>
      </c>
      <c r="L11" s="972">
        <f t="shared" si="3"/>
        <v>11</v>
      </c>
      <c r="M11" s="972">
        <f t="shared" si="3"/>
        <v>12</v>
      </c>
      <c r="N11" s="972">
        <f t="shared" si="3"/>
        <v>1</v>
      </c>
      <c r="O11" s="972">
        <f t="shared" si="3"/>
        <v>2</v>
      </c>
      <c r="P11" s="972">
        <f t="shared" si="3"/>
        <v>3</v>
      </c>
      <c r="Q11" s="966" t="s">
        <v>5</v>
      </c>
    </row>
    <row r="12" spans="1:47" ht="22.5" customHeight="1">
      <c r="B12" s="988" t="s">
        <v>0</v>
      </c>
      <c r="C12" s="602"/>
      <c r="D12" s="966" t="s">
        <v>10</v>
      </c>
      <c r="E12" s="980"/>
      <c r="F12" s="981"/>
      <c r="G12" s="981"/>
      <c r="H12" s="981"/>
      <c r="I12" s="981"/>
      <c r="J12" s="981"/>
      <c r="K12" s="981"/>
      <c r="L12" s="981"/>
      <c r="M12" s="981"/>
      <c r="N12" s="981"/>
      <c r="O12" s="981"/>
      <c r="P12" s="981"/>
      <c r="Q12" s="969">
        <f t="shared" ref="Q12:Q18" si="4">SUM(E12:P12)</f>
        <v>0</v>
      </c>
      <c r="AH12" s="590" t="s">
        <v>785</v>
      </c>
      <c r="AI12" s="7" t="s">
        <v>25</v>
      </c>
      <c r="AJ12" s="12"/>
      <c r="AK12" s="12"/>
      <c r="AL12" s="12"/>
      <c r="AM12" s="12"/>
      <c r="AN12" s="12"/>
      <c r="AO12" s="12"/>
      <c r="AP12" s="12"/>
      <c r="AQ12" s="12"/>
      <c r="AR12" s="12"/>
      <c r="AS12" s="12"/>
      <c r="AT12" s="8"/>
    </row>
    <row r="13" spans="1:47" ht="22.5" customHeight="1">
      <c r="B13" s="989" t="s">
        <v>4</v>
      </c>
      <c r="C13" s="604" t="s">
        <v>1</v>
      </c>
      <c r="D13" s="966" t="s">
        <v>26</v>
      </c>
      <c r="E13" s="981"/>
      <c r="F13" s="981"/>
      <c r="G13" s="981"/>
      <c r="H13" s="981"/>
      <c r="I13" s="981"/>
      <c r="J13" s="981"/>
      <c r="K13" s="981"/>
      <c r="L13" s="981"/>
      <c r="M13" s="981"/>
      <c r="N13" s="981"/>
      <c r="O13" s="981"/>
      <c r="P13" s="981"/>
      <c r="Q13" s="969">
        <f t="shared" si="4"/>
        <v>0</v>
      </c>
      <c r="AH13" s="593"/>
      <c r="AI13" s="588">
        <f>AI8</f>
        <v>4</v>
      </c>
      <c r="AJ13" s="588">
        <f>MOD($E11+COLUMN(A10)-1, 12)+1</f>
        <v>5</v>
      </c>
      <c r="AK13" s="588">
        <f t="shared" ref="AK13:AT13" si="5">MOD($E11+COLUMN(B10)-1, 12)+1</f>
        <v>6</v>
      </c>
      <c r="AL13" s="588">
        <f t="shared" si="5"/>
        <v>7</v>
      </c>
      <c r="AM13" s="588">
        <f t="shared" si="5"/>
        <v>8</v>
      </c>
      <c r="AN13" s="588">
        <f t="shared" si="5"/>
        <v>9</v>
      </c>
      <c r="AO13" s="588">
        <f t="shared" si="5"/>
        <v>10</v>
      </c>
      <c r="AP13" s="588">
        <f t="shared" si="5"/>
        <v>11</v>
      </c>
      <c r="AQ13" s="588">
        <f t="shared" si="5"/>
        <v>12</v>
      </c>
      <c r="AR13" s="588">
        <f t="shared" si="5"/>
        <v>1</v>
      </c>
      <c r="AS13" s="588">
        <f t="shared" si="5"/>
        <v>2</v>
      </c>
      <c r="AT13" s="588">
        <f t="shared" si="5"/>
        <v>3</v>
      </c>
    </row>
    <row r="14" spans="1:47" ht="22.5" customHeight="1">
      <c r="B14" s="990"/>
      <c r="C14" s="604" t="s">
        <v>2</v>
      </c>
      <c r="D14" s="966" t="s">
        <v>26</v>
      </c>
      <c r="E14" s="981"/>
      <c r="F14" s="981"/>
      <c r="G14" s="981"/>
      <c r="H14" s="981"/>
      <c r="I14" s="981"/>
      <c r="J14" s="981"/>
      <c r="K14" s="981"/>
      <c r="L14" s="981"/>
      <c r="M14" s="981"/>
      <c r="N14" s="981"/>
      <c r="O14" s="981"/>
      <c r="P14" s="981"/>
      <c r="Q14" s="969">
        <f t="shared" si="4"/>
        <v>0</v>
      </c>
      <c r="AH14" s="590" t="str">
        <f>$J$10&amp;" "&amp;$K$10&amp;" "&amp;$L$10&amp;" "&amp;AU14</f>
        <v>令和  年度 購入電力</v>
      </c>
      <c r="AI14" s="10">
        <f t="shared" ref="AI14:AT14" si="6">E55</f>
        <v>0</v>
      </c>
      <c r="AJ14" s="10">
        <f t="shared" si="6"/>
        <v>0</v>
      </c>
      <c r="AK14" s="10">
        <f t="shared" si="6"/>
        <v>0</v>
      </c>
      <c r="AL14" s="10">
        <f t="shared" si="6"/>
        <v>0</v>
      </c>
      <c r="AM14" s="10">
        <f t="shared" si="6"/>
        <v>0</v>
      </c>
      <c r="AN14" s="10">
        <f t="shared" si="6"/>
        <v>0</v>
      </c>
      <c r="AO14" s="10">
        <f t="shared" si="6"/>
        <v>0</v>
      </c>
      <c r="AP14" s="10">
        <f t="shared" si="6"/>
        <v>0</v>
      </c>
      <c r="AQ14" s="10">
        <f t="shared" si="6"/>
        <v>0</v>
      </c>
      <c r="AR14" s="10">
        <f t="shared" si="6"/>
        <v>0</v>
      </c>
      <c r="AS14" s="10">
        <f t="shared" si="6"/>
        <v>0</v>
      </c>
      <c r="AT14" s="10">
        <f t="shared" si="6"/>
        <v>0</v>
      </c>
      <c r="AU14" s="47" t="s">
        <v>781</v>
      </c>
    </row>
    <row r="15" spans="1:47" ht="22.5" customHeight="1">
      <c r="B15" s="990"/>
      <c r="C15" s="604" t="s">
        <v>3</v>
      </c>
      <c r="D15" s="966" t="s">
        <v>1200</v>
      </c>
      <c r="E15" s="981"/>
      <c r="F15" s="981"/>
      <c r="G15" s="981"/>
      <c r="H15" s="981"/>
      <c r="I15" s="981"/>
      <c r="J15" s="981"/>
      <c r="K15" s="981"/>
      <c r="L15" s="981"/>
      <c r="M15" s="981"/>
      <c r="N15" s="981"/>
      <c r="O15" s="981"/>
      <c r="P15" s="981"/>
      <c r="Q15" s="969">
        <f t="shared" si="4"/>
        <v>0</v>
      </c>
      <c r="AH15" s="590" t="str">
        <f>$J$10&amp;" "&amp;$K$10&amp;" "&amp;$L$10&amp;" "&amp;AU15</f>
        <v>令和  年度 燃料</v>
      </c>
      <c r="AI15" s="178">
        <f t="shared" ref="AI15:AT15" si="7">E60</f>
        <v>0</v>
      </c>
      <c r="AJ15" s="178">
        <f t="shared" si="7"/>
        <v>0</v>
      </c>
      <c r="AK15" s="178">
        <f t="shared" si="7"/>
        <v>0</v>
      </c>
      <c r="AL15" s="178">
        <f t="shared" si="7"/>
        <v>0</v>
      </c>
      <c r="AM15" s="178">
        <f t="shared" si="7"/>
        <v>0</v>
      </c>
      <c r="AN15" s="178">
        <f t="shared" si="7"/>
        <v>0</v>
      </c>
      <c r="AO15" s="178">
        <f t="shared" si="7"/>
        <v>0</v>
      </c>
      <c r="AP15" s="178">
        <f t="shared" si="7"/>
        <v>0</v>
      </c>
      <c r="AQ15" s="178">
        <f t="shared" si="7"/>
        <v>0</v>
      </c>
      <c r="AR15" s="178">
        <f t="shared" si="7"/>
        <v>0</v>
      </c>
      <c r="AS15" s="178">
        <f t="shared" si="7"/>
        <v>0</v>
      </c>
      <c r="AT15" s="178">
        <f t="shared" si="7"/>
        <v>0</v>
      </c>
      <c r="AU15" s="47" t="s">
        <v>774</v>
      </c>
    </row>
    <row r="16" spans="1:47" ht="22.5" customHeight="1">
      <c r="B16" s="991"/>
      <c r="C16" s="604" t="s">
        <v>880</v>
      </c>
      <c r="D16" s="966" t="s">
        <v>1200</v>
      </c>
      <c r="E16" s="981"/>
      <c r="F16" s="981"/>
      <c r="G16" s="981"/>
      <c r="H16" s="981"/>
      <c r="I16" s="981"/>
      <c r="J16" s="981"/>
      <c r="K16" s="981"/>
      <c r="L16" s="981"/>
      <c r="M16" s="981"/>
      <c r="N16" s="981"/>
      <c r="O16" s="981"/>
      <c r="P16" s="981"/>
      <c r="Q16" s="969">
        <f t="shared" si="4"/>
        <v>0</v>
      </c>
      <c r="AH16" s="590" t="str">
        <f>$J$10&amp;" "&amp;$K$10&amp;" "&amp;$L$10&amp;" "&amp;AU16</f>
        <v>令和  年度 自動車燃料</v>
      </c>
      <c r="AI16" s="178">
        <f t="shared" ref="AI16:AT16" si="8">E63</f>
        <v>0</v>
      </c>
      <c r="AJ16" s="178">
        <f t="shared" si="8"/>
        <v>0</v>
      </c>
      <c r="AK16" s="178">
        <f t="shared" si="8"/>
        <v>0</v>
      </c>
      <c r="AL16" s="178">
        <f t="shared" si="8"/>
        <v>0</v>
      </c>
      <c r="AM16" s="178">
        <f t="shared" si="8"/>
        <v>0</v>
      </c>
      <c r="AN16" s="178">
        <f t="shared" si="8"/>
        <v>0</v>
      </c>
      <c r="AO16" s="178">
        <f t="shared" si="8"/>
        <v>0</v>
      </c>
      <c r="AP16" s="178">
        <f t="shared" si="8"/>
        <v>0</v>
      </c>
      <c r="AQ16" s="178">
        <f t="shared" si="8"/>
        <v>0</v>
      </c>
      <c r="AR16" s="178">
        <f t="shared" si="8"/>
        <v>0</v>
      </c>
      <c r="AS16" s="178">
        <f t="shared" si="8"/>
        <v>0</v>
      </c>
      <c r="AT16" s="178">
        <f t="shared" si="8"/>
        <v>0</v>
      </c>
      <c r="AU16" s="47" t="s">
        <v>784</v>
      </c>
    </row>
    <row r="17" spans="2:47" ht="22.5" customHeight="1">
      <c r="B17" s="989" t="s">
        <v>13</v>
      </c>
      <c r="C17" s="604" t="s">
        <v>14</v>
      </c>
      <c r="D17" s="966" t="s">
        <v>26</v>
      </c>
      <c r="E17" s="981"/>
      <c r="F17" s="981"/>
      <c r="G17" s="981"/>
      <c r="H17" s="981"/>
      <c r="I17" s="981"/>
      <c r="J17" s="981"/>
      <c r="K17" s="981"/>
      <c r="L17" s="981"/>
      <c r="M17" s="981"/>
      <c r="N17" s="981"/>
      <c r="O17" s="981"/>
      <c r="P17" s="981"/>
      <c r="Q17" s="969">
        <f t="shared" si="4"/>
        <v>0</v>
      </c>
      <c r="AH17" s="47" t="str">
        <f>$J$20&amp;" "&amp;$K$20&amp;" "&amp;$L$20&amp;" "&amp;AU17</f>
        <v>令和  年度 購入電力</v>
      </c>
      <c r="AI17" s="10">
        <f t="shared" ref="AI17:AT17" si="9">E68</f>
        <v>0</v>
      </c>
      <c r="AJ17" s="10">
        <f t="shared" si="9"/>
        <v>0</v>
      </c>
      <c r="AK17" s="10">
        <f t="shared" si="9"/>
        <v>0</v>
      </c>
      <c r="AL17" s="10">
        <f t="shared" si="9"/>
        <v>0</v>
      </c>
      <c r="AM17" s="10">
        <f t="shared" si="9"/>
        <v>0</v>
      </c>
      <c r="AN17" s="10">
        <f t="shared" si="9"/>
        <v>0</v>
      </c>
      <c r="AO17" s="10">
        <f t="shared" si="9"/>
        <v>0</v>
      </c>
      <c r="AP17" s="10">
        <f t="shared" si="9"/>
        <v>0</v>
      </c>
      <c r="AQ17" s="10">
        <f t="shared" si="9"/>
        <v>0</v>
      </c>
      <c r="AR17" s="10">
        <f t="shared" si="9"/>
        <v>0</v>
      </c>
      <c r="AS17" s="10">
        <f t="shared" si="9"/>
        <v>0</v>
      </c>
      <c r="AT17" s="10">
        <f t="shared" si="9"/>
        <v>0</v>
      </c>
      <c r="AU17" s="47" t="s">
        <v>781</v>
      </c>
    </row>
    <row r="18" spans="2:47" ht="22.5" customHeight="1">
      <c r="B18" s="991"/>
      <c r="C18" s="604" t="s">
        <v>16</v>
      </c>
      <c r="D18" s="966" t="s">
        <v>26</v>
      </c>
      <c r="E18" s="981"/>
      <c r="F18" s="981"/>
      <c r="G18" s="981"/>
      <c r="H18" s="981"/>
      <c r="I18" s="981"/>
      <c r="J18" s="981"/>
      <c r="K18" s="981"/>
      <c r="L18" s="981"/>
      <c r="M18" s="981"/>
      <c r="N18" s="981"/>
      <c r="O18" s="981"/>
      <c r="P18" s="981"/>
      <c r="Q18" s="969">
        <f t="shared" si="4"/>
        <v>0</v>
      </c>
      <c r="AH18" s="47" t="str">
        <f>$J$20&amp;" "&amp;$K$20&amp;" "&amp;$L$20&amp;" "&amp;AU18</f>
        <v>令和  年度 燃料</v>
      </c>
      <c r="AI18" s="10">
        <f t="shared" ref="AI18:AT18" si="10">E78</f>
        <v>0</v>
      </c>
      <c r="AJ18" s="10">
        <f t="shared" si="10"/>
        <v>0</v>
      </c>
      <c r="AK18" s="10">
        <f t="shared" si="10"/>
        <v>0</v>
      </c>
      <c r="AL18" s="10">
        <f t="shared" si="10"/>
        <v>0</v>
      </c>
      <c r="AM18" s="10">
        <f t="shared" si="10"/>
        <v>0</v>
      </c>
      <c r="AN18" s="10">
        <f t="shared" si="10"/>
        <v>0</v>
      </c>
      <c r="AO18" s="10">
        <f t="shared" si="10"/>
        <v>0</v>
      </c>
      <c r="AP18" s="10">
        <f t="shared" si="10"/>
        <v>0</v>
      </c>
      <c r="AQ18" s="10">
        <f t="shared" si="10"/>
        <v>0</v>
      </c>
      <c r="AR18" s="10">
        <f t="shared" si="10"/>
        <v>0</v>
      </c>
      <c r="AS18" s="10">
        <f t="shared" si="10"/>
        <v>0</v>
      </c>
      <c r="AT18" s="10">
        <f t="shared" si="10"/>
        <v>0</v>
      </c>
      <c r="AU18" s="47" t="s">
        <v>774</v>
      </c>
    </row>
    <row r="19" spans="2:47" ht="22.5" customHeight="1" thickBot="1">
      <c r="B19" s="600"/>
      <c r="C19" s="600"/>
      <c r="D19" s="600"/>
      <c r="E19" s="600"/>
      <c r="F19" s="600"/>
      <c r="G19" s="600"/>
      <c r="H19" s="600"/>
      <c r="I19" s="600"/>
      <c r="J19" s="600"/>
      <c r="K19" s="600"/>
      <c r="L19" s="600"/>
      <c r="M19" s="600"/>
      <c r="N19" s="600"/>
      <c r="O19" s="600"/>
      <c r="P19" s="600"/>
      <c r="Q19" s="600"/>
      <c r="AH19" s="47" t="str">
        <f>$J$20&amp;" "&amp;$K$20&amp;" "&amp;$L$20&amp;" "&amp;AU19</f>
        <v>令和  年度 自動車燃料</v>
      </c>
      <c r="AI19" s="10">
        <f t="shared" ref="AI19:AT19" si="11">E84</f>
        <v>0</v>
      </c>
      <c r="AJ19" s="10">
        <f t="shared" si="11"/>
        <v>0</v>
      </c>
      <c r="AK19" s="10">
        <f t="shared" si="11"/>
        <v>0</v>
      </c>
      <c r="AL19" s="10">
        <f t="shared" si="11"/>
        <v>0</v>
      </c>
      <c r="AM19" s="10">
        <f t="shared" si="11"/>
        <v>0</v>
      </c>
      <c r="AN19" s="10">
        <f t="shared" si="11"/>
        <v>0</v>
      </c>
      <c r="AO19" s="10">
        <f t="shared" si="11"/>
        <v>0</v>
      </c>
      <c r="AP19" s="10">
        <f t="shared" si="11"/>
        <v>0</v>
      </c>
      <c r="AQ19" s="10">
        <f t="shared" si="11"/>
        <v>0</v>
      </c>
      <c r="AR19" s="10">
        <f t="shared" si="11"/>
        <v>0</v>
      </c>
      <c r="AS19" s="10">
        <f t="shared" si="11"/>
        <v>0</v>
      </c>
      <c r="AT19" s="10">
        <f t="shared" si="11"/>
        <v>0</v>
      </c>
      <c r="AU19" s="47" t="s">
        <v>784</v>
      </c>
    </row>
    <row r="20" spans="2:47" ht="28.5" customHeight="1">
      <c r="B20" s="986" t="s">
        <v>12</v>
      </c>
      <c r="C20" s="603"/>
      <c r="D20" s="987"/>
      <c r="E20" s="974">
        <v>7</v>
      </c>
      <c r="F20" s="992"/>
      <c r="G20" s="992"/>
      <c r="H20" s="992"/>
      <c r="I20" s="992"/>
      <c r="J20" s="994" t="s">
        <v>17</v>
      </c>
      <c r="K20" s="993" t="str">
        <f>IF(実績表1!H16="","",実績表1!H16)</f>
        <v/>
      </c>
      <c r="L20" s="995" t="s">
        <v>18</v>
      </c>
      <c r="M20" s="992"/>
      <c r="N20" s="992"/>
      <c r="O20" s="992"/>
      <c r="P20" s="992"/>
      <c r="Q20" s="997" t="s">
        <v>1174</v>
      </c>
      <c r="R20" s="231"/>
    </row>
    <row r="21" spans="2:47" ht="22.5" customHeight="1" thickBot="1">
      <c r="B21" s="603" t="s">
        <v>15</v>
      </c>
      <c r="C21" s="603"/>
      <c r="D21" s="965" t="s">
        <v>7</v>
      </c>
      <c r="E21" s="973">
        <v>4</v>
      </c>
      <c r="F21" s="972">
        <f>MOD($E21+COLUMN(A16)-1, 12)+1</f>
        <v>5</v>
      </c>
      <c r="G21" s="972">
        <f t="shared" ref="G21:P21" si="12">MOD($E21+COLUMN(B16)-1, 12)+1</f>
        <v>6</v>
      </c>
      <c r="H21" s="972">
        <f t="shared" si="12"/>
        <v>7</v>
      </c>
      <c r="I21" s="972">
        <f t="shared" si="12"/>
        <v>8</v>
      </c>
      <c r="J21" s="972">
        <f t="shared" si="12"/>
        <v>9</v>
      </c>
      <c r="K21" s="972">
        <f t="shared" si="12"/>
        <v>10</v>
      </c>
      <c r="L21" s="972">
        <f t="shared" si="12"/>
        <v>11</v>
      </c>
      <c r="M21" s="972">
        <f t="shared" si="12"/>
        <v>12</v>
      </c>
      <c r="N21" s="972">
        <f t="shared" si="12"/>
        <v>1</v>
      </c>
      <c r="O21" s="972">
        <f t="shared" si="12"/>
        <v>2</v>
      </c>
      <c r="P21" s="972">
        <f t="shared" si="12"/>
        <v>3</v>
      </c>
      <c r="Q21" s="966" t="s">
        <v>5</v>
      </c>
    </row>
    <row r="22" spans="2:47" ht="18.75" customHeight="1">
      <c r="B22" s="988" t="s">
        <v>0</v>
      </c>
      <c r="C22" s="602"/>
      <c r="D22" s="966" t="s">
        <v>10</v>
      </c>
      <c r="E22" s="980"/>
      <c r="F22" s="981"/>
      <c r="G22" s="981"/>
      <c r="H22" s="981"/>
      <c r="I22" s="981"/>
      <c r="J22" s="981"/>
      <c r="K22" s="981"/>
      <c r="L22" s="981"/>
      <c r="M22" s="981"/>
      <c r="N22" s="981"/>
      <c r="O22" s="981"/>
      <c r="P22" s="981"/>
      <c r="Q22" s="969">
        <f t="shared" ref="Q22:Q28" si="13">SUM(E22:P22)</f>
        <v>0</v>
      </c>
    </row>
    <row r="23" spans="2:47" ht="18.75" customHeight="1">
      <c r="B23" s="989" t="s">
        <v>4</v>
      </c>
      <c r="C23" s="604" t="s">
        <v>1</v>
      </c>
      <c r="D23" s="966" t="s">
        <v>26</v>
      </c>
      <c r="E23" s="981"/>
      <c r="F23" s="981"/>
      <c r="G23" s="981"/>
      <c r="H23" s="981"/>
      <c r="I23" s="981"/>
      <c r="J23" s="981"/>
      <c r="K23" s="981"/>
      <c r="L23" s="981"/>
      <c r="M23" s="981"/>
      <c r="N23" s="981"/>
      <c r="O23" s="981"/>
      <c r="P23" s="981"/>
      <c r="Q23" s="969">
        <f t="shared" si="13"/>
        <v>0</v>
      </c>
    </row>
    <row r="24" spans="2:47" ht="18.75" customHeight="1">
      <c r="B24" s="990"/>
      <c r="C24" s="604" t="s">
        <v>2</v>
      </c>
      <c r="D24" s="966" t="s">
        <v>26</v>
      </c>
      <c r="E24" s="981"/>
      <c r="F24" s="981"/>
      <c r="G24" s="981"/>
      <c r="H24" s="981"/>
      <c r="I24" s="981"/>
      <c r="J24" s="981"/>
      <c r="K24" s="981"/>
      <c r="L24" s="981"/>
      <c r="M24" s="981"/>
      <c r="N24" s="981"/>
      <c r="O24" s="981"/>
      <c r="P24" s="981"/>
      <c r="Q24" s="969">
        <f t="shared" si="13"/>
        <v>0</v>
      </c>
    </row>
    <row r="25" spans="2:47" ht="22.5" customHeight="1">
      <c r="B25" s="990"/>
      <c r="C25" s="604" t="s">
        <v>3</v>
      </c>
      <c r="D25" s="966" t="s">
        <v>1200</v>
      </c>
      <c r="E25" s="981"/>
      <c r="F25" s="981"/>
      <c r="G25" s="981"/>
      <c r="H25" s="981"/>
      <c r="I25" s="981"/>
      <c r="J25" s="981"/>
      <c r="K25" s="981"/>
      <c r="L25" s="981"/>
      <c r="M25" s="981"/>
      <c r="N25" s="981"/>
      <c r="O25" s="981"/>
      <c r="P25" s="981"/>
      <c r="Q25" s="969">
        <f t="shared" si="13"/>
        <v>0</v>
      </c>
    </row>
    <row r="26" spans="2:47" ht="22.5" customHeight="1">
      <c r="B26" s="991"/>
      <c r="C26" s="604" t="s">
        <v>880</v>
      </c>
      <c r="D26" s="966" t="s">
        <v>1200</v>
      </c>
      <c r="E26" s="981"/>
      <c r="F26" s="981"/>
      <c r="G26" s="981"/>
      <c r="H26" s="981"/>
      <c r="I26" s="981"/>
      <c r="J26" s="981"/>
      <c r="K26" s="981"/>
      <c r="L26" s="981"/>
      <c r="M26" s="981"/>
      <c r="N26" s="981"/>
      <c r="O26" s="981"/>
      <c r="P26" s="981"/>
      <c r="Q26" s="969">
        <f t="shared" si="13"/>
        <v>0</v>
      </c>
    </row>
    <row r="27" spans="2:47" ht="22.5" customHeight="1">
      <c r="B27" s="989" t="s">
        <v>13</v>
      </c>
      <c r="C27" s="604" t="s">
        <v>14</v>
      </c>
      <c r="D27" s="966" t="s">
        <v>26</v>
      </c>
      <c r="E27" s="981"/>
      <c r="F27" s="981"/>
      <c r="G27" s="981"/>
      <c r="H27" s="981"/>
      <c r="I27" s="981"/>
      <c r="J27" s="981"/>
      <c r="K27" s="981"/>
      <c r="L27" s="981"/>
      <c r="M27" s="981"/>
      <c r="N27" s="981"/>
      <c r="O27" s="981"/>
      <c r="P27" s="981"/>
      <c r="Q27" s="969">
        <f t="shared" si="13"/>
        <v>0</v>
      </c>
    </row>
    <row r="28" spans="2:47" ht="22.5" customHeight="1">
      <c r="B28" s="991"/>
      <c r="C28" s="604" t="s">
        <v>16</v>
      </c>
      <c r="D28" s="966" t="s">
        <v>26</v>
      </c>
      <c r="E28" s="981"/>
      <c r="F28" s="981"/>
      <c r="G28" s="981"/>
      <c r="H28" s="981"/>
      <c r="I28" s="981"/>
      <c r="J28" s="981"/>
      <c r="K28" s="981"/>
      <c r="L28" s="981"/>
      <c r="M28" s="981"/>
      <c r="N28" s="981"/>
      <c r="O28" s="981"/>
      <c r="P28" s="981"/>
      <c r="Q28" s="969">
        <f t="shared" si="13"/>
        <v>0</v>
      </c>
    </row>
    <row r="29" spans="2:47" ht="22.5" customHeight="1"/>
    <row r="30" spans="2:47" ht="36.5" customHeight="1">
      <c r="B30" s="1023" t="s">
        <v>1190</v>
      </c>
      <c r="C30" s="600"/>
      <c r="D30" s="600"/>
      <c r="E30" s="600"/>
      <c r="F30" s="600"/>
      <c r="G30" s="600"/>
      <c r="H30" s="600"/>
      <c r="I30" s="600"/>
      <c r="J30" s="600"/>
      <c r="K30" s="600"/>
      <c r="L30" s="600"/>
      <c r="M30" s="600"/>
      <c r="V30" s="11"/>
      <c r="W30" s="11"/>
      <c r="X30" s="11"/>
      <c r="Y30" s="5"/>
      <c r="Z30" s="6"/>
      <c r="AD30" s="6"/>
      <c r="AE30" s="6"/>
    </row>
    <row r="31" spans="2:47" ht="24.5" customHeight="1">
      <c r="B31" s="983" t="s">
        <v>27</v>
      </c>
      <c r="C31" s="984"/>
      <c r="D31" s="1505" t="str">
        <f>IF(OR(E10="",E11="",P11=""),"",J10&amp;E10&amp;"年"&amp;E11&amp;"月～"&amp;J10&amp;IF(P11=12,E10,E10+1)&amp;"年"&amp;P11&amp;"月")</f>
        <v>令和6年4月～令和7年3月</v>
      </c>
      <c r="E31" s="1505"/>
      <c r="F31" s="1505"/>
      <c r="G31" s="1505"/>
      <c r="H31" s="1505"/>
      <c r="I31" s="1505"/>
      <c r="J31" s="1505"/>
      <c r="K31" s="1505" t="str">
        <f>IF(OR(E20="",E21="",P54="",P21=""),"",J20&amp;E20&amp;"年"&amp;E21&amp;"月～"&amp;J20&amp;IF(P21=12,E20,E20+1)&amp;"年"&amp;P54&amp;"月")</f>
        <v>令和7年4月～令和8年3月</v>
      </c>
      <c r="L31" s="1505"/>
      <c r="M31" s="1505"/>
      <c r="N31" s="1505"/>
      <c r="O31" s="1505"/>
      <c r="P31" s="1505"/>
      <c r="Q31" s="1505"/>
      <c r="W31" s="11"/>
      <c r="X31" s="11"/>
      <c r="Y31" s="5"/>
      <c r="Z31" s="6"/>
      <c r="AA31" s="6"/>
      <c r="AB31" s="6"/>
      <c r="AC31" s="6"/>
      <c r="AD31" s="6"/>
      <c r="AE31" s="6"/>
    </row>
    <row r="32" spans="2:47" ht="40.5" customHeight="1">
      <c r="B32" s="983" t="s">
        <v>20</v>
      </c>
      <c r="C32" s="984"/>
      <c r="D32" s="1479" t="s">
        <v>1166</v>
      </c>
      <c r="E32" s="1479"/>
      <c r="F32" s="1479"/>
      <c r="G32" s="985" t="s">
        <v>11</v>
      </c>
      <c r="H32" s="1498" t="s">
        <v>1172</v>
      </c>
      <c r="I32" s="1498"/>
      <c r="J32" s="1498"/>
      <c r="K32" s="1479" t="s">
        <v>1166</v>
      </c>
      <c r="L32" s="1479"/>
      <c r="M32" s="1479"/>
      <c r="N32" s="985" t="s">
        <v>11</v>
      </c>
      <c r="O32" s="1498" t="s">
        <v>1172</v>
      </c>
      <c r="P32" s="1498"/>
      <c r="Q32" s="1498"/>
    </row>
    <row r="33" spans="2:17" ht="36" customHeight="1">
      <c r="B33" s="998" t="s">
        <v>0</v>
      </c>
      <c r="C33" s="999"/>
      <c r="D33" s="1496">
        <f>$Q$12</f>
        <v>0</v>
      </c>
      <c r="E33" s="1497"/>
      <c r="F33" s="975" t="s">
        <v>6</v>
      </c>
      <c r="G33" s="970">
        <f>'(参考)排出係数'!$F$3</f>
        <v>0.43</v>
      </c>
      <c r="H33" s="1495">
        <f>D33*G33</f>
        <v>0</v>
      </c>
      <c r="I33" s="1495"/>
      <c r="J33" s="1495"/>
      <c r="K33" s="1496">
        <f>$Q$22</f>
        <v>0</v>
      </c>
      <c r="L33" s="1497"/>
      <c r="M33" s="975" t="s">
        <v>6</v>
      </c>
      <c r="N33" s="970">
        <f>'(参考)排出係数'!$F$3</f>
        <v>0.43</v>
      </c>
      <c r="O33" s="1495">
        <f>K33*N33</f>
        <v>0</v>
      </c>
      <c r="P33" s="1495"/>
      <c r="Q33" s="1495"/>
    </row>
    <row r="34" spans="2:17" ht="36" customHeight="1">
      <c r="B34" s="1506" t="s">
        <v>4</v>
      </c>
      <c r="C34" s="1000" t="s">
        <v>1</v>
      </c>
      <c r="D34" s="1496">
        <f>$Q$13</f>
        <v>0</v>
      </c>
      <c r="E34" s="1497"/>
      <c r="F34" s="975" t="s">
        <v>8</v>
      </c>
      <c r="G34" s="970">
        <f>'(参考)排出係数'!$F$8</f>
        <v>2.4900000000000002</v>
      </c>
      <c r="H34" s="1495">
        <f>D34*G34</f>
        <v>0</v>
      </c>
      <c r="I34" s="1495"/>
      <c r="J34" s="1495"/>
      <c r="K34" s="1496">
        <f>$Q$23</f>
        <v>0</v>
      </c>
      <c r="L34" s="1497"/>
      <c r="M34" s="975" t="s">
        <v>8</v>
      </c>
      <c r="N34" s="970">
        <f>'(参考)排出係数'!$F$8</f>
        <v>2.4900000000000002</v>
      </c>
      <c r="O34" s="1495">
        <f>K34*N34</f>
        <v>0</v>
      </c>
      <c r="P34" s="1495"/>
      <c r="Q34" s="1495"/>
    </row>
    <row r="35" spans="2:17" ht="36" customHeight="1">
      <c r="B35" s="1507"/>
      <c r="C35" s="1000" t="s">
        <v>2</v>
      </c>
      <c r="D35" s="1496">
        <f>$Q$14</f>
        <v>0</v>
      </c>
      <c r="E35" s="1497"/>
      <c r="F35" s="975" t="s">
        <v>8</v>
      </c>
      <c r="G35" s="970">
        <f>'(参考)排出係数'!$F$10</f>
        <v>2.71</v>
      </c>
      <c r="H35" s="1495">
        <f>D35*G35</f>
        <v>0</v>
      </c>
      <c r="I35" s="1495"/>
      <c r="J35" s="1495"/>
      <c r="K35" s="1496">
        <f>$Q$24</f>
        <v>0</v>
      </c>
      <c r="L35" s="1497"/>
      <c r="M35" s="975" t="s">
        <v>8</v>
      </c>
      <c r="N35" s="970">
        <f>'(参考)排出係数'!$F$10</f>
        <v>2.71</v>
      </c>
      <c r="O35" s="1495">
        <f>K35*N35</f>
        <v>0</v>
      </c>
      <c r="P35" s="1495"/>
      <c r="Q35" s="1495"/>
    </row>
    <row r="36" spans="2:17" ht="36" customHeight="1">
      <c r="B36" s="1507"/>
      <c r="C36" s="1000" t="s">
        <v>3</v>
      </c>
      <c r="D36" s="1496">
        <f>$Q$15</f>
        <v>0</v>
      </c>
      <c r="E36" s="1497"/>
      <c r="F36" s="975" t="s">
        <v>1199</v>
      </c>
      <c r="G36" s="970">
        <f>'(参考)排出係数'!$F$14</f>
        <v>2.14</v>
      </c>
      <c r="H36" s="1495">
        <f>D36*G36</f>
        <v>0</v>
      </c>
      <c r="I36" s="1495"/>
      <c r="J36" s="1495"/>
      <c r="K36" s="1496">
        <f>$Q$25</f>
        <v>0</v>
      </c>
      <c r="L36" s="1497"/>
      <c r="M36" s="975" t="s">
        <v>1199</v>
      </c>
      <c r="N36" s="970">
        <f>'(参考)排出係数'!$F$14</f>
        <v>2.14</v>
      </c>
      <c r="O36" s="1495">
        <f>K36*N36</f>
        <v>0</v>
      </c>
      <c r="P36" s="1495"/>
      <c r="Q36" s="1495"/>
    </row>
    <row r="37" spans="2:17" ht="36" customHeight="1">
      <c r="B37" s="1507"/>
      <c r="C37" s="1000" t="s">
        <v>880</v>
      </c>
      <c r="D37" s="1496">
        <f>$Q$16</f>
        <v>0</v>
      </c>
      <c r="E37" s="1497"/>
      <c r="F37" s="975" t="s">
        <v>1199</v>
      </c>
      <c r="G37" s="971">
        <f>'(参考)排出係数'!F12</f>
        <v>3</v>
      </c>
      <c r="H37" s="1495">
        <f>D37*G37</f>
        <v>0</v>
      </c>
      <c r="I37" s="1495"/>
      <c r="J37" s="1495"/>
      <c r="K37" s="1496">
        <f>$Q$26</f>
        <v>0</v>
      </c>
      <c r="L37" s="1497"/>
      <c r="M37" s="975" t="s">
        <v>1199</v>
      </c>
      <c r="N37" s="971">
        <f>'(参考)排出係数'!$F$12</f>
        <v>3</v>
      </c>
      <c r="O37" s="1495">
        <f>K37*N37</f>
        <v>0</v>
      </c>
      <c r="P37" s="1495"/>
      <c r="Q37" s="1495"/>
    </row>
    <row r="38" spans="2:17" ht="36" customHeight="1">
      <c r="B38" s="1508"/>
      <c r="C38" s="999"/>
      <c r="D38" s="1483" t="s">
        <v>857</v>
      </c>
      <c r="E38" s="1484"/>
      <c r="F38" s="1484"/>
      <c r="G38" s="1485"/>
      <c r="H38" s="1495">
        <f>SUM(H34:J37)</f>
        <v>0</v>
      </c>
      <c r="I38" s="1495"/>
      <c r="J38" s="1495"/>
      <c r="K38" s="1483" t="s">
        <v>857</v>
      </c>
      <c r="L38" s="1484"/>
      <c r="M38" s="1484"/>
      <c r="N38" s="1485"/>
      <c r="O38" s="1495">
        <f>SUM(O34:Q37)</f>
        <v>0</v>
      </c>
      <c r="P38" s="1495"/>
      <c r="Q38" s="1495"/>
    </row>
    <row r="39" spans="2:17" ht="36" customHeight="1">
      <c r="B39" s="1509" t="s">
        <v>1173</v>
      </c>
      <c r="C39" s="1000" t="s">
        <v>14</v>
      </c>
      <c r="D39" s="1496">
        <f>$Q$17</f>
        <v>0</v>
      </c>
      <c r="E39" s="1497"/>
      <c r="F39" s="975" t="s">
        <v>8</v>
      </c>
      <c r="G39" s="971">
        <f>'(参考)排出係数'!$F$6</f>
        <v>2.3199999999999998</v>
      </c>
      <c r="H39" s="1495">
        <f>D39*G39</f>
        <v>0</v>
      </c>
      <c r="I39" s="1495"/>
      <c r="J39" s="1495"/>
      <c r="K39" s="1496">
        <f>$Q$27</f>
        <v>0</v>
      </c>
      <c r="L39" s="1497"/>
      <c r="M39" s="975" t="s">
        <v>8</v>
      </c>
      <c r="N39" s="971">
        <f>'(参考)排出係数'!$F$6</f>
        <v>2.3199999999999998</v>
      </c>
      <c r="O39" s="1495">
        <f>K39*N39</f>
        <v>0</v>
      </c>
      <c r="P39" s="1495"/>
      <c r="Q39" s="1495"/>
    </row>
    <row r="40" spans="2:17" ht="36" customHeight="1">
      <c r="B40" s="1510"/>
      <c r="C40" s="1000" t="s">
        <v>16</v>
      </c>
      <c r="D40" s="1496">
        <f>$Q$18</f>
        <v>0</v>
      </c>
      <c r="E40" s="1497"/>
      <c r="F40" s="975" t="s">
        <v>8</v>
      </c>
      <c r="G40" s="971">
        <f>'(参考)排出係数'!$F$9</f>
        <v>2.58</v>
      </c>
      <c r="H40" s="1495">
        <f>D40*G40</f>
        <v>0</v>
      </c>
      <c r="I40" s="1495"/>
      <c r="J40" s="1495"/>
      <c r="K40" s="1496">
        <f>$Q$28</f>
        <v>0</v>
      </c>
      <c r="L40" s="1497"/>
      <c r="M40" s="975" t="s">
        <v>8</v>
      </c>
      <c r="N40" s="971">
        <f>'(参考)排出係数'!$F$9</f>
        <v>2.58</v>
      </c>
      <c r="O40" s="1495">
        <f>K40*N40</f>
        <v>0</v>
      </c>
      <c r="P40" s="1495"/>
      <c r="Q40" s="1495"/>
    </row>
    <row r="41" spans="2:17" ht="36" customHeight="1">
      <c r="B41" s="1508"/>
      <c r="C41" s="999"/>
      <c r="D41" s="1486" t="s">
        <v>858</v>
      </c>
      <c r="E41" s="1487"/>
      <c r="F41" s="1487"/>
      <c r="G41" s="1488"/>
      <c r="H41" s="1494">
        <f>SUM(H39:J40)</f>
        <v>0</v>
      </c>
      <c r="I41" s="1495"/>
      <c r="J41" s="1495"/>
      <c r="K41" s="1486" t="s">
        <v>858</v>
      </c>
      <c r="L41" s="1487"/>
      <c r="M41" s="1487"/>
      <c r="N41" s="1488"/>
      <c r="O41" s="1494">
        <f>SUM(O39:Q40)</f>
        <v>0</v>
      </c>
      <c r="P41" s="1495"/>
      <c r="Q41" s="1495"/>
    </row>
    <row r="42" spans="2:17" ht="36" customHeight="1">
      <c r="B42" s="1001" t="s">
        <v>1167</v>
      </c>
      <c r="C42" s="1002"/>
      <c r="D42" s="977"/>
      <c r="E42" s="978"/>
      <c r="F42" s="978"/>
      <c r="G42" s="979"/>
      <c r="H42" s="1409"/>
      <c r="I42" s="1501">
        <f>SUM(H33:J37,H39:J40)</f>
        <v>0</v>
      </c>
      <c r="J42" s="1502"/>
      <c r="K42" s="976"/>
      <c r="L42" s="979"/>
      <c r="M42" s="978"/>
      <c r="N42" s="978"/>
      <c r="O42" s="1410"/>
      <c r="P42" s="1501">
        <f>SUM(O33:Q37,O39:Q40)</f>
        <v>0</v>
      </c>
      <c r="Q42" s="1502"/>
    </row>
    <row r="43" spans="2:17" ht="36" customHeight="1">
      <c r="B43" s="1003" t="s">
        <v>927</v>
      </c>
      <c r="C43" s="1004"/>
      <c r="D43" s="1008" t="s">
        <v>36</v>
      </c>
      <c r="E43" s="1503" t="str">
        <f>実績表1!B17</f>
        <v>従業員数</v>
      </c>
      <c r="F43" s="1504"/>
      <c r="G43" s="1492" t="str">
        <f>IFERROR($I$42/実績表1!D17,"")</f>
        <v/>
      </c>
      <c r="H43" s="1493"/>
      <c r="I43" s="1477" t="str">
        <f>実績表1!C17</f>
        <v>人</v>
      </c>
      <c r="J43" s="1478"/>
      <c r="K43" s="1008" t="s">
        <v>36</v>
      </c>
      <c r="L43" s="1503" t="str">
        <f>実績表1!B17</f>
        <v>従業員数</v>
      </c>
      <c r="M43" s="1504"/>
      <c r="N43" s="1492" t="str">
        <f>IFERROR($P$42/実績表1!G17,"")</f>
        <v/>
      </c>
      <c r="O43" s="1493"/>
      <c r="P43" s="1477" t="str">
        <f>実績表1!C17</f>
        <v>人</v>
      </c>
      <c r="Q43" s="1478"/>
    </row>
    <row r="44" spans="2:17" ht="36" customHeight="1">
      <c r="B44" s="1005" t="s">
        <v>1168</v>
      </c>
      <c r="C44" s="1006"/>
      <c r="D44" s="1008" t="s">
        <v>37</v>
      </c>
      <c r="E44" s="1503" t="str">
        <f>実績表1!B18</f>
        <v>売上高</v>
      </c>
      <c r="F44" s="1504"/>
      <c r="G44" s="1492" t="str">
        <f>IFERROR($I$42/実績表1!D18,"")</f>
        <v/>
      </c>
      <c r="H44" s="1493"/>
      <c r="I44" s="1477" t="str">
        <f>実績表1!C18</f>
        <v>万円</v>
      </c>
      <c r="J44" s="1478"/>
      <c r="K44" s="1008" t="s">
        <v>37</v>
      </c>
      <c r="L44" s="1503" t="str">
        <f>実績表1!B18</f>
        <v>売上高</v>
      </c>
      <c r="M44" s="1504"/>
      <c r="N44" s="1492" t="str">
        <f>IFERROR($P$42/実績表1!G18,"")</f>
        <v/>
      </c>
      <c r="O44" s="1493"/>
      <c r="P44" s="1477" t="str">
        <f>実績表1!C18</f>
        <v>万円</v>
      </c>
      <c r="Q44" s="1478"/>
    </row>
    <row r="45" spans="2:17" ht="36" customHeight="1">
      <c r="B45" s="1480" t="s">
        <v>1191</v>
      </c>
      <c r="C45" s="1007" t="s">
        <v>0</v>
      </c>
      <c r="D45" s="1489" t="str">
        <f>IFERROR(Q55/Q64,"0")</f>
        <v>0</v>
      </c>
      <c r="E45" s="1490"/>
      <c r="F45" s="1490"/>
      <c r="G45" s="1490"/>
      <c r="H45" s="1490"/>
      <c r="I45" s="1490"/>
      <c r="J45" s="1491"/>
      <c r="K45" s="1489" t="str">
        <f>IFERROR(Q68/Q86,"0")</f>
        <v>0</v>
      </c>
      <c r="L45" s="1490"/>
      <c r="M45" s="1490"/>
      <c r="N45" s="1490"/>
      <c r="O45" s="1490"/>
      <c r="P45" s="1490"/>
      <c r="Q45" s="1491"/>
    </row>
    <row r="46" spans="2:17" ht="36" customHeight="1">
      <c r="B46" s="1481"/>
      <c r="C46" s="1007" t="s">
        <v>4</v>
      </c>
      <c r="D46" s="1489" t="str">
        <f>IFERROR(Q60/Q64,"0")</f>
        <v>0</v>
      </c>
      <c r="E46" s="1490"/>
      <c r="F46" s="1490"/>
      <c r="G46" s="1490"/>
      <c r="H46" s="1490"/>
      <c r="I46" s="1490"/>
      <c r="J46" s="1491"/>
      <c r="K46" s="1489" t="str">
        <f>IFERROR(Q78/Q86,"0")</f>
        <v>0</v>
      </c>
      <c r="L46" s="1490"/>
      <c r="M46" s="1490"/>
      <c r="N46" s="1490"/>
      <c r="O46" s="1490"/>
      <c r="P46" s="1490"/>
      <c r="Q46" s="1491"/>
    </row>
    <row r="47" spans="2:17" ht="36" customHeight="1">
      <c r="B47" s="1482"/>
      <c r="C47" s="1007" t="s">
        <v>28</v>
      </c>
      <c r="D47" s="1489" t="str">
        <f>IFERROR(Q63/Q64,"0")</f>
        <v>0</v>
      </c>
      <c r="E47" s="1490"/>
      <c r="F47" s="1490"/>
      <c r="G47" s="1490"/>
      <c r="H47" s="1490"/>
      <c r="I47" s="1490"/>
      <c r="J47" s="1491"/>
      <c r="K47" s="1489" t="str">
        <f>IFERROR(Q84/Q86,"0")</f>
        <v>0</v>
      </c>
      <c r="L47" s="1490"/>
      <c r="M47" s="1490"/>
      <c r="N47" s="1490"/>
      <c r="O47" s="1490"/>
      <c r="P47" s="1490"/>
      <c r="Q47" s="1491"/>
    </row>
    <row r="48" spans="2:17" ht="23.15" customHeight="1">
      <c r="Q48" s="996" t="s">
        <v>1183</v>
      </c>
    </row>
    <row r="49" spans="2:20" ht="23.15" customHeight="1"/>
    <row r="51" spans="2:20" ht="18.75" customHeight="1">
      <c r="T51" s="601"/>
    </row>
    <row r="52" spans="2:20" ht="18.75" customHeight="1">
      <c r="B52" s="92" t="s">
        <v>720</v>
      </c>
    </row>
    <row r="53" spans="2:20" ht="18.75" customHeight="1">
      <c r="B53" s="30" t="s">
        <v>19</v>
      </c>
      <c r="C53" s="22"/>
      <c r="D53" s="22"/>
      <c r="E53" s="13"/>
      <c r="F53" s="24"/>
      <c r="G53" s="24"/>
      <c r="H53" s="24"/>
      <c r="I53" s="24"/>
      <c r="J53" s="31" t="s">
        <v>17</v>
      </c>
      <c r="K53" s="38" t="str">
        <f>実績表1!E16</f>
        <v/>
      </c>
      <c r="L53" s="32" t="s">
        <v>18</v>
      </c>
      <c r="M53" s="24"/>
      <c r="N53" s="24"/>
      <c r="O53" s="24"/>
      <c r="P53" s="24"/>
      <c r="Q53" s="14"/>
    </row>
    <row r="54" spans="2:20" ht="18.75" customHeight="1">
      <c r="B54" s="19" t="s">
        <v>15</v>
      </c>
      <c r="C54" s="27"/>
      <c r="D54" s="20"/>
      <c r="E54" s="588">
        <f>E11</f>
        <v>4</v>
      </c>
      <c r="F54" s="588">
        <f>MOD($E54+COLUMN(A36)-1, 12)+1</f>
        <v>5</v>
      </c>
      <c r="G54" s="588">
        <f t="shared" ref="G54:P54" si="14">MOD($E54+COLUMN(B13)-1, 12)+1</f>
        <v>6</v>
      </c>
      <c r="H54" s="588">
        <f t="shared" si="14"/>
        <v>7</v>
      </c>
      <c r="I54" s="588">
        <f t="shared" si="14"/>
        <v>8</v>
      </c>
      <c r="J54" s="588">
        <f t="shared" si="14"/>
        <v>9</v>
      </c>
      <c r="K54" s="588">
        <f t="shared" si="14"/>
        <v>10</v>
      </c>
      <c r="L54" s="588">
        <f t="shared" si="14"/>
        <v>11</v>
      </c>
      <c r="M54" s="588">
        <f t="shared" si="14"/>
        <v>12</v>
      </c>
      <c r="N54" s="588">
        <f t="shared" si="14"/>
        <v>1</v>
      </c>
      <c r="O54" s="588">
        <f t="shared" si="14"/>
        <v>2</v>
      </c>
      <c r="P54" s="588">
        <f t="shared" si="14"/>
        <v>3</v>
      </c>
      <c r="Q54" s="23" t="s">
        <v>5</v>
      </c>
    </row>
    <row r="55" spans="2:20" ht="18.75" customHeight="1">
      <c r="B55" s="13" t="s">
        <v>21</v>
      </c>
      <c r="C55" s="24"/>
      <c r="D55" s="14"/>
      <c r="E55" s="696">
        <f t="shared" ref="E55:P55" si="15">E12*$G33</f>
        <v>0</v>
      </c>
      <c r="F55" s="696">
        <f t="shared" si="15"/>
        <v>0</v>
      </c>
      <c r="G55" s="696">
        <f t="shared" si="15"/>
        <v>0</v>
      </c>
      <c r="H55" s="696">
        <f t="shared" si="15"/>
        <v>0</v>
      </c>
      <c r="I55" s="696">
        <f t="shared" si="15"/>
        <v>0</v>
      </c>
      <c r="J55" s="696">
        <f t="shared" si="15"/>
        <v>0</v>
      </c>
      <c r="K55" s="696">
        <f t="shared" si="15"/>
        <v>0</v>
      </c>
      <c r="L55" s="696">
        <f t="shared" si="15"/>
        <v>0</v>
      </c>
      <c r="M55" s="696">
        <f t="shared" si="15"/>
        <v>0</v>
      </c>
      <c r="N55" s="696">
        <f t="shared" si="15"/>
        <v>0</v>
      </c>
      <c r="O55" s="696">
        <f t="shared" si="15"/>
        <v>0</v>
      </c>
      <c r="P55" s="696">
        <f t="shared" si="15"/>
        <v>0</v>
      </c>
      <c r="Q55" s="696">
        <f>SUM(E55:P55)</f>
        <v>0</v>
      </c>
    </row>
    <row r="56" spans="2:20" ht="18.75" customHeight="1">
      <c r="B56" s="25" t="s">
        <v>4</v>
      </c>
      <c r="C56" s="13" t="s">
        <v>1</v>
      </c>
      <c r="D56" s="14"/>
      <c r="E56" s="696">
        <f t="shared" ref="E56:P56" si="16">E13*$G34</f>
        <v>0</v>
      </c>
      <c r="F56" s="696">
        <f t="shared" si="16"/>
        <v>0</v>
      </c>
      <c r="G56" s="696">
        <f t="shared" si="16"/>
        <v>0</v>
      </c>
      <c r="H56" s="696">
        <f t="shared" si="16"/>
        <v>0</v>
      </c>
      <c r="I56" s="696">
        <f t="shared" si="16"/>
        <v>0</v>
      </c>
      <c r="J56" s="696">
        <f t="shared" si="16"/>
        <v>0</v>
      </c>
      <c r="K56" s="696">
        <f t="shared" si="16"/>
        <v>0</v>
      </c>
      <c r="L56" s="696">
        <f t="shared" si="16"/>
        <v>0</v>
      </c>
      <c r="M56" s="696">
        <f t="shared" si="16"/>
        <v>0</v>
      </c>
      <c r="N56" s="696">
        <f t="shared" si="16"/>
        <v>0</v>
      </c>
      <c r="O56" s="696">
        <f t="shared" si="16"/>
        <v>0</v>
      </c>
      <c r="P56" s="696">
        <f t="shared" si="16"/>
        <v>0</v>
      </c>
      <c r="Q56" s="696">
        <f t="shared" ref="Q56:Q63" si="17">SUM(E56:P56)</f>
        <v>0</v>
      </c>
    </row>
    <row r="57" spans="2:20" ht="18.75" customHeight="1">
      <c r="B57" s="26"/>
      <c r="C57" s="13" t="s">
        <v>2</v>
      </c>
      <c r="D57" s="14"/>
      <c r="E57" s="696">
        <f t="shared" ref="E57:P57" si="18">E14*$G35</f>
        <v>0</v>
      </c>
      <c r="F57" s="696">
        <f t="shared" si="18"/>
        <v>0</v>
      </c>
      <c r="G57" s="696">
        <f t="shared" si="18"/>
        <v>0</v>
      </c>
      <c r="H57" s="696">
        <f t="shared" si="18"/>
        <v>0</v>
      </c>
      <c r="I57" s="696">
        <f t="shared" si="18"/>
        <v>0</v>
      </c>
      <c r="J57" s="696">
        <f t="shared" si="18"/>
        <v>0</v>
      </c>
      <c r="K57" s="696">
        <f t="shared" si="18"/>
        <v>0</v>
      </c>
      <c r="L57" s="696">
        <f t="shared" si="18"/>
        <v>0</v>
      </c>
      <c r="M57" s="696">
        <f t="shared" si="18"/>
        <v>0</v>
      </c>
      <c r="N57" s="696">
        <f t="shared" si="18"/>
        <v>0</v>
      </c>
      <c r="O57" s="696">
        <f t="shared" si="18"/>
        <v>0</v>
      </c>
      <c r="P57" s="696">
        <f t="shared" si="18"/>
        <v>0</v>
      </c>
      <c r="Q57" s="696">
        <f t="shared" si="17"/>
        <v>0</v>
      </c>
    </row>
    <row r="58" spans="2:20" ht="18.75" customHeight="1">
      <c r="B58" s="26"/>
      <c r="C58" s="13" t="s">
        <v>3</v>
      </c>
      <c r="D58" s="14"/>
      <c r="E58" s="696">
        <f t="shared" ref="E58:P58" si="19">E15*$G36</f>
        <v>0</v>
      </c>
      <c r="F58" s="696">
        <f t="shared" si="19"/>
        <v>0</v>
      </c>
      <c r="G58" s="696">
        <f t="shared" si="19"/>
        <v>0</v>
      </c>
      <c r="H58" s="696">
        <f t="shared" si="19"/>
        <v>0</v>
      </c>
      <c r="I58" s="696">
        <f t="shared" si="19"/>
        <v>0</v>
      </c>
      <c r="J58" s="696">
        <f t="shared" si="19"/>
        <v>0</v>
      </c>
      <c r="K58" s="696">
        <f t="shared" si="19"/>
        <v>0</v>
      </c>
      <c r="L58" s="696">
        <f t="shared" si="19"/>
        <v>0</v>
      </c>
      <c r="M58" s="696">
        <f t="shared" si="19"/>
        <v>0</v>
      </c>
      <c r="N58" s="696">
        <f t="shared" si="19"/>
        <v>0</v>
      </c>
      <c r="O58" s="696">
        <f t="shared" si="19"/>
        <v>0</v>
      </c>
      <c r="P58" s="696">
        <f t="shared" si="19"/>
        <v>0</v>
      </c>
      <c r="Q58" s="696">
        <f t="shared" si="17"/>
        <v>0</v>
      </c>
    </row>
    <row r="59" spans="2:20" ht="18.75" customHeight="1">
      <c r="B59" s="26"/>
      <c r="C59" s="13" t="s">
        <v>880</v>
      </c>
      <c r="D59" s="14"/>
      <c r="E59" s="696">
        <f t="shared" ref="E59:P59" si="20">E16*$G37</f>
        <v>0</v>
      </c>
      <c r="F59" s="696">
        <f t="shared" si="20"/>
        <v>0</v>
      </c>
      <c r="G59" s="696">
        <f t="shared" si="20"/>
        <v>0</v>
      </c>
      <c r="H59" s="696">
        <f t="shared" si="20"/>
        <v>0</v>
      </c>
      <c r="I59" s="696">
        <f t="shared" si="20"/>
        <v>0</v>
      </c>
      <c r="J59" s="696">
        <f t="shared" si="20"/>
        <v>0</v>
      </c>
      <c r="K59" s="696">
        <f t="shared" si="20"/>
        <v>0</v>
      </c>
      <c r="L59" s="696">
        <f t="shared" si="20"/>
        <v>0</v>
      </c>
      <c r="M59" s="696">
        <f t="shared" si="20"/>
        <v>0</v>
      </c>
      <c r="N59" s="696">
        <f t="shared" si="20"/>
        <v>0</v>
      </c>
      <c r="O59" s="696">
        <f t="shared" si="20"/>
        <v>0</v>
      </c>
      <c r="P59" s="696">
        <f t="shared" si="20"/>
        <v>0</v>
      </c>
      <c r="Q59" s="696">
        <f t="shared" si="17"/>
        <v>0</v>
      </c>
    </row>
    <row r="60" spans="2:20" ht="18.75" customHeight="1">
      <c r="B60" s="13" t="s">
        <v>22</v>
      </c>
      <c r="C60" s="179"/>
      <c r="D60" s="180"/>
      <c r="E60" s="696">
        <f>SUM(E56:E59)</f>
        <v>0</v>
      </c>
      <c r="F60" s="696">
        <f t="shared" ref="F60:P60" si="21">SUM(F56:F59)</f>
        <v>0</v>
      </c>
      <c r="G60" s="696">
        <f t="shared" si="21"/>
        <v>0</v>
      </c>
      <c r="H60" s="696">
        <f t="shared" si="21"/>
        <v>0</v>
      </c>
      <c r="I60" s="696">
        <f t="shared" si="21"/>
        <v>0</v>
      </c>
      <c r="J60" s="696">
        <f t="shared" si="21"/>
        <v>0</v>
      </c>
      <c r="K60" s="696">
        <f t="shared" si="21"/>
        <v>0</v>
      </c>
      <c r="L60" s="696">
        <f t="shared" si="21"/>
        <v>0</v>
      </c>
      <c r="M60" s="696">
        <f t="shared" si="21"/>
        <v>0</v>
      </c>
      <c r="N60" s="696">
        <f t="shared" si="21"/>
        <v>0</v>
      </c>
      <c r="O60" s="696">
        <f t="shared" si="21"/>
        <v>0</v>
      </c>
      <c r="P60" s="696">
        <f t="shared" si="21"/>
        <v>0</v>
      </c>
      <c r="Q60" s="696">
        <f t="shared" si="17"/>
        <v>0</v>
      </c>
    </row>
    <row r="61" spans="2:20" ht="18.75" customHeight="1">
      <c r="B61" s="25" t="s">
        <v>13</v>
      </c>
      <c r="C61" s="13" t="s">
        <v>14</v>
      </c>
      <c r="D61" s="28"/>
      <c r="E61" s="696">
        <f t="shared" ref="E61:P61" si="22">E17*$G39</f>
        <v>0</v>
      </c>
      <c r="F61" s="696">
        <f t="shared" si="22"/>
        <v>0</v>
      </c>
      <c r="G61" s="696">
        <f t="shared" si="22"/>
        <v>0</v>
      </c>
      <c r="H61" s="696">
        <f t="shared" si="22"/>
        <v>0</v>
      </c>
      <c r="I61" s="696">
        <f t="shared" si="22"/>
        <v>0</v>
      </c>
      <c r="J61" s="696">
        <f t="shared" si="22"/>
        <v>0</v>
      </c>
      <c r="K61" s="696">
        <f t="shared" si="22"/>
        <v>0</v>
      </c>
      <c r="L61" s="696">
        <f t="shared" si="22"/>
        <v>0</v>
      </c>
      <c r="M61" s="696">
        <f t="shared" si="22"/>
        <v>0</v>
      </c>
      <c r="N61" s="696">
        <f t="shared" si="22"/>
        <v>0</v>
      </c>
      <c r="O61" s="696">
        <f t="shared" si="22"/>
        <v>0</v>
      </c>
      <c r="P61" s="696">
        <f t="shared" si="22"/>
        <v>0</v>
      </c>
      <c r="Q61" s="696">
        <f t="shared" si="17"/>
        <v>0</v>
      </c>
    </row>
    <row r="62" spans="2:20" ht="18.75" customHeight="1">
      <c r="B62" s="26"/>
      <c r="C62" s="16" t="s">
        <v>16</v>
      </c>
      <c r="D62" s="29"/>
      <c r="E62" s="696">
        <f t="shared" ref="E62:P62" si="23">E18*$G40</f>
        <v>0</v>
      </c>
      <c r="F62" s="696">
        <f t="shared" si="23"/>
        <v>0</v>
      </c>
      <c r="G62" s="696">
        <f t="shared" si="23"/>
        <v>0</v>
      </c>
      <c r="H62" s="696">
        <f t="shared" si="23"/>
        <v>0</v>
      </c>
      <c r="I62" s="696">
        <f t="shared" si="23"/>
        <v>0</v>
      </c>
      <c r="J62" s="696">
        <f t="shared" si="23"/>
        <v>0</v>
      </c>
      <c r="K62" s="696">
        <f t="shared" si="23"/>
        <v>0</v>
      </c>
      <c r="L62" s="696">
        <f t="shared" si="23"/>
        <v>0</v>
      </c>
      <c r="M62" s="696">
        <f t="shared" si="23"/>
        <v>0</v>
      </c>
      <c r="N62" s="696">
        <f t="shared" si="23"/>
        <v>0</v>
      </c>
      <c r="O62" s="696">
        <f t="shared" si="23"/>
        <v>0</v>
      </c>
      <c r="P62" s="696">
        <f t="shared" si="23"/>
        <v>0</v>
      </c>
      <c r="Q62" s="696">
        <f t="shared" si="17"/>
        <v>0</v>
      </c>
    </row>
    <row r="63" spans="2:20" ht="18.75" customHeight="1">
      <c r="B63" s="13" t="s">
        <v>23</v>
      </c>
      <c r="C63" s="181"/>
      <c r="D63" s="81"/>
      <c r="E63" s="696">
        <f>SUM(E61:E62)</f>
        <v>0</v>
      </c>
      <c r="F63" s="696">
        <f>SUM(F61:F62)</f>
        <v>0</v>
      </c>
      <c r="G63" s="696">
        <f t="shared" ref="G63" si="24">SUM(G61:G62)</f>
        <v>0</v>
      </c>
      <c r="H63" s="696">
        <f t="shared" ref="H63" si="25">SUM(H61:H62)</f>
        <v>0</v>
      </c>
      <c r="I63" s="696">
        <f t="shared" ref="I63" si="26">SUM(I61:I62)</f>
        <v>0</v>
      </c>
      <c r="J63" s="696">
        <f t="shared" ref="J63" si="27">SUM(J61:J62)</f>
        <v>0</v>
      </c>
      <c r="K63" s="696">
        <f t="shared" ref="K63" si="28">SUM(K61:K62)</f>
        <v>0</v>
      </c>
      <c r="L63" s="696">
        <f t="shared" ref="L63" si="29">SUM(L61:L62)</f>
        <v>0</v>
      </c>
      <c r="M63" s="696">
        <f t="shared" ref="M63" si="30">SUM(M61:M62)</f>
        <v>0</v>
      </c>
      <c r="N63" s="696">
        <f t="shared" ref="N63" si="31">SUM(N61:N62)</f>
        <v>0</v>
      </c>
      <c r="O63" s="696">
        <f t="shared" ref="O63" si="32">SUM(O61:O62)</f>
        <v>0</v>
      </c>
      <c r="P63" s="696">
        <f t="shared" ref="P63" si="33">SUM(P61:P62)</f>
        <v>0</v>
      </c>
      <c r="Q63" s="696">
        <f t="shared" si="17"/>
        <v>0</v>
      </c>
    </row>
    <row r="64" spans="2:20" ht="18.75" customHeight="1">
      <c r="B64" s="182" t="s">
        <v>24</v>
      </c>
      <c r="C64" s="24"/>
      <c r="D64" s="14"/>
      <c r="E64" s="696">
        <f>SUM(E55,E63,E60)</f>
        <v>0</v>
      </c>
      <c r="F64" s="696">
        <f t="shared" ref="F64:P64" si="34">SUM(F55,F63,F60)</f>
        <v>0</v>
      </c>
      <c r="G64" s="696">
        <f t="shared" si="34"/>
        <v>0</v>
      </c>
      <c r="H64" s="696">
        <f t="shared" si="34"/>
        <v>0</v>
      </c>
      <c r="I64" s="696">
        <f t="shared" si="34"/>
        <v>0</v>
      </c>
      <c r="J64" s="696">
        <f t="shared" si="34"/>
        <v>0</v>
      </c>
      <c r="K64" s="696">
        <f t="shared" si="34"/>
        <v>0</v>
      </c>
      <c r="L64" s="696">
        <f t="shared" si="34"/>
        <v>0</v>
      </c>
      <c r="M64" s="696">
        <f t="shared" si="34"/>
        <v>0</v>
      </c>
      <c r="N64" s="696">
        <f t="shared" si="34"/>
        <v>0</v>
      </c>
      <c r="O64" s="696">
        <f t="shared" si="34"/>
        <v>0</v>
      </c>
      <c r="P64" s="696">
        <f t="shared" si="34"/>
        <v>0</v>
      </c>
      <c r="Q64" s="696">
        <f>SUM(Q55,Q63,Q60)</f>
        <v>0</v>
      </c>
    </row>
    <row r="66" spans="2:19" ht="18.75" customHeight="1">
      <c r="B66" s="30" t="s">
        <v>19</v>
      </c>
      <c r="C66" s="22"/>
      <c r="D66" s="22"/>
      <c r="E66" s="13"/>
      <c r="F66" s="24"/>
      <c r="G66" s="24"/>
      <c r="H66" s="24"/>
      <c r="I66" s="24"/>
      <c r="J66" s="31" t="s">
        <v>17</v>
      </c>
      <c r="K66" s="38">
        <f>実績表1!H16</f>
        <v>0</v>
      </c>
      <c r="L66" s="32" t="s">
        <v>18</v>
      </c>
      <c r="M66" s="24"/>
      <c r="N66" s="24"/>
      <c r="O66" s="24"/>
      <c r="P66" s="24"/>
      <c r="Q66" s="14"/>
    </row>
    <row r="67" spans="2:19" ht="18.75" customHeight="1" thickBot="1">
      <c r="B67" s="459" t="s">
        <v>15</v>
      </c>
      <c r="C67" s="460"/>
      <c r="D67" s="461"/>
      <c r="E67" s="588">
        <f>E11</f>
        <v>4</v>
      </c>
      <c r="F67" s="588">
        <f>MOD($E67+COLUMN(A47)-1, 12)+1</f>
        <v>5</v>
      </c>
      <c r="G67" s="588">
        <f t="shared" ref="G67:P67" si="35">MOD($E67+COLUMN(B26)-1, 12)+1</f>
        <v>6</v>
      </c>
      <c r="H67" s="588">
        <f t="shared" si="35"/>
        <v>7</v>
      </c>
      <c r="I67" s="588">
        <f t="shared" si="35"/>
        <v>8</v>
      </c>
      <c r="J67" s="588">
        <f t="shared" si="35"/>
        <v>9</v>
      </c>
      <c r="K67" s="588">
        <f t="shared" si="35"/>
        <v>10</v>
      </c>
      <c r="L67" s="588">
        <f t="shared" si="35"/>
        <v>11</v>
      </c>
      <c r="M67" s="588">
        <f t="shared" si="35"/>
        <v>12</v>
      </c>
      <c r="N67" s="588">
        <f t="shared" si="35"/>
        <v>1</v>
      </c>
      <c r="O67" s="588">
        <f t="shared" si="35"/>
        <v>2</v>
      </c>
      <c r="P67" s="588">
        <f t="shared" si="35"/>
        <v>3</v>
      </c>
      <c r="Q67" s="188" t="s">
        <v>5</v>
      </c>
    </row>
    <row r="68" spans="2:19" ht="18.75" customHeight="1">
      <c r="B68" s="462" t="s">
        <v>21</v>
      </c>
      <c r="C68" s="463"/>
      <c r="D68" s="464" t="s">
        <v>721</v>
      </c>
      <c r="E68" s="699">
        <f t="shared" ref="E68:P68" si="36">E22*$N33</f>
        <v>0</v>
      </c>
      <c r="F68" s="699">
        <f t="shared" si="36"/>
        <v>0</v>
      </c>
      <c r="G68" s="699">
        <f t="shared" si="36"/>
        <v>0</v>
      </c>
      <c r="H68" s="699">
        <f t="shared" si="36"/>
        <v>0</v>
      </c>
      <c r="I68" s="699">
        <f t="shared" si="36"/>
        <v>0</v>
      </c>
      <c r="J68" s="699">
        <f t="shared" si="36"/>
        <v>0</v>
      </c>
      <c r="K68" s="699">
        <f t="shared" si="36"/>
        <v>0</v>
      </c>
      <c r="L68" s="699">
        <f t="shared" si="36"/>
        <v>0</v>
      </c>
      <c r="M68" s="699">
        <f t="shared" si="36"/>
        <v>0</v>
      </c>
      <c r="N68" s="699">
        <f t="shared" si="36"/>
        <v>0</v>
      </c>
      <c r="O68" s="699">
        <f t="shared" si="36"/>
        <v>0</v>
      </c>
      <c r="P68" s="699">
        <f t="shared" si="36"/>
        <v>0</v>
      </c>
      <c r="Q68" s="697">
        <f>SUM(E68:P68)</f>
        <v>0</v>
      </c>
    </row>
    <row r="69" spans="2:19" ht="18.75" customHeight="1" thickBot="1">
      <c r="B69" s="465"/>
      <c r="C69" s="466"/>
      <c r="D69" s="467" t="s">
        <v>722</v>
      </c>
      <c r="E69" s="774" t="str">
        <f>IFERROR(E68/E55,"-")</f>
        <v>-</v>
      </c>
      <c r="F69" s="774" t="str">
        <f t="shared" ref="F69:Q69" si="37">IFERROR(F68/F55,"-")</f>
        <v>-</v>
      </c>
      <c r="G69" s="774" t="str">
        <f t="shared" si="37"/>
        <v>-</v>
      </c>
      <c r="H69" s="774" t="str">
        <f t="shared" si="37"/>
        <v>-</v>
      </c>
      <c r="I69" s="774" t="str">
        <f t="shared" si="37"/>
        <v>-</v>
      </c>
      <c r="J69" s="774" t="str">
        <f t="shared" si="37"/>
        <v>-</v>
      </c>
      <c r="K69" s="774" t="str">
        <f t="shared" si="37"/>
        <v>-</v>
      </c>
      <c r="L69" s="774" t="str">
        <f t="shared" si="37"/>
        <v>-</v>
      </c>
      <c r="M69" s="774" t="str">
        <f t="shared" si="37"/>
        <v>-</v>
      </c>
      <c r="N69" s="774" t="str">
        <f t="shared" si="37"/>
        <v>-</v>
      </c>
      <c r="O69" s="774" t="str">
        <f t="shared" si="37"/>
        <v>-</v>
      </c>
      <c r="P69" s="774" t="str">
        <f t="shared" si="37"/>
        <v>-</v>
      </c>
      <c r="Q69" s="775" t="str">
        <f t="shared" si="37"/>
        <v>-</v>
      </c>
    </row>
    <row r="70" spans="2:19" ht="18.75" customHeight="1">
      <c r="B70" s="468" t="s">
        <v>4</v>
      </c>
      <c r="C70" s="469" t="s">
        <v>1</v>
      </c>
      <c r="D70" s="470" t="s">
        <v>721</v>
      </c>
      <c r="E70" s="699">
        <f t="shared" ref="E70:P70" si="38">E23*$N34</f>
        <v>0</v>
      </c>
      <c r="F70" s="699">
        <f t="shared" si="38"/>
        <v>0</v>
      </c>
      <c r="G70" s="699">
        <f t="shared" si="38"/>
        <v>0</v>
      </c>
      <c r="H70" s="699">
        <f t="shared" si="38"/>
        <v>0</v>
      </c>
      <c r="I70" s="699">
        <f t="shared" si="38"/>
        <v>0</v>
      </c>
      <c r="J70" s="699">
        <f t="shared" si="38"/>
        <v>0</v>
      </c>
      <c r="K70" s="699">
        <f t="shared" si="38"/>
        <v>0</v>
      </c>
      <c r="L70" s="699">
        <f t="shared" si="38"/>
        <v>0</v>
      </c>
      <c r="M70" s="699">
        <f t="shared" si="38"/>
        <v>0</v>
      </c>
      <c r="N70" s="699">
        <f t="shared" si="38"/>
        <v>0</v>
      </c>
      <c r="O70" s="699">
        <f t="shared" si="38"/>
        <v>0</v>
      </c>
      <c r="P70" s="699">
        <f t="shared" si="38"/>
        <v>0</v>
      </c>
      <c r="Q70" s="697">
        <f>SUM(E70:P70)</f>
        <v>0</v>
      </c>
    </row>
    <row r="71" spans="2:19" ht="18.75" customHeight="1">
      <c r="B71" s="471"/>
      <c r="C71" s="69"/>
      <c r="D71" s="453" t="s">
        <v>722</v>
      </c>
      <c r="E71" s="776" t="str">
        <f>IFERROR(E70/E56,"-")</f>
        <v>-</v>
      </c>
      <c r="F71" s="776" t="str">
        <f t="shared" ref="F71:Q71" si="39">IFERROR(F70/F56,"-")</f>
        <v>-</v>
      </c>
      <c r="G71" s="776" t="str">
        <f t="shared" si="39"/>
        <v>-</v>
      </c>
      <c r="H71" s="776" t="str">
        <f t="shared" si="39"/>
        <v>-</v>
      </c>
      <c r="I71" s="776" t="str">
        <f t="shared" si="39"/>
        <v>-</v>
      </c>
      <c r="J71" s="776" t="str">
        <f t="shared" si="39"/>
        <v>-</v>
      </c>
      <c r="K71" s="776" t="str">
        <f t="shared" si="39"/>
        <v>-</v>
      </c>
      <c r="L71" s="776" t="str">
        <f t="shared" si="39"/>
        <v>-</v>
      </c>
      <c r="M71" s="776" t="str">
        <f t="shared" si="39"/>
        <v>-</v>
      </c>
      <c r="N71" s="776" t="str">
        <f t="shared" si="39"/>
        <v>-</v>
      </c>
      <c r="O71" s="776" t="str">
        <f t="shared" si="39"/>
        <v>-</v>
      </c>
      <c r="P71" s="776" t="str">
        <f t="shared" si="39"/>
        <v>-</v>
      </c>
      <c r="Q71" s="777" t="str">
        <f t="shared" si="39"/>
        <v>-</v>
      </c>
    </row>
    <row r="72" spans="2:19" ht="18.75" customHeight="1">
      <c r="B72" s="471"/>
      <c r="C72" s="430" t="s">
        <v>2</v>
      </c>
      <c r="D72" s="79" t="s">
        <v>721</v>
      </c>
      <c r="E72" s="696">
        <f t="shared" ref="E72:P72" si="40">E24*$N35</f>
        <v>0</v>
      </c>
      <c r="F72" s="696">
        <f t="shared" si="40"/>
        <v>0</v>
      </c>
      <c r="G72" s="696">
        <f t="shared" si="40"/>
        <v>0</v>
      </c>
      <c r="H72" s="696">
        <f t="shared" si="40"/>
        <v>0</v>
      </c>
      <c r="I72" s="696">
        <f t="shared" si="40"/>
        <v>0</v>
      </c>
      <c r="J72" s="696">
        <f t="shared" si="40"/>
        <v>0</v>
      </c>
      <c r="K72" s="696">
        <f t="shared" si="40"/>
        <v>0</v>
      </c>
      <c r="L72" s="696">
        <f t="shared" si="40"/>
        <v>0</v>
      </c>
      <c r="M72" s="696">
        <f t="shared" si="40"/>
        <v>0</v>
      </c>
      <c r="N72" s="696">
        <f t="shared" si="40"/>
        <v>0</v>
      </c>
      <c r="O72" s="696">
        <f t="shared" si="40"/>
        <v>0</v>
      </c>
      <c r="P72" s="696">
        <f t="shared" si="40"/>
        <v>0</v>
      </c>
      <c r="Q72" s="698">
        <f>SUM(E72:P72)</f>
        <v>0</v>
      </c>
    </row>
    <row r="73" spans="2:19" ht="18.75" customHeight="1">
      <c r="B73" s="471"/>
      <c r="C73" s="69"/>
      <c r="D73" s="453" t="s">
        <v>722</v>
      </c>
      <c r="E73" s="776" t="str">
        <f>IFERROR(E72/E57,"-")</f>
        <v>-</v>
      </c>
      <c r="F73" s="776" t="str">
        <f t="shared" ref="F73:Q73" si="41">IFERROR(F72/F57,"-")</f>
        <v>-</v>
      </c>
      <c r="G73" s="776" t="str">
        <f t="shared" si="41"/>
        <v>-</v>
      </c>
      <c r="H73" s="776" t="str">
        <f t="shared" si="41"/>
        <v>-</v>
      </c>
      <c r="I73" s="776" t="str">
        <f t="shared" si="41"/>
        <v>-</v>
      </c>
      <c r="J73" s="776" t="str">
        <f t="shared" si="41"/>
        <v>-</v>
      </c>
      <c r="K73" s="776" t="str">
        <f t="shared" si="41"/>
        <v>-</v>
      </c>
      <c r="L73" s="776" t="str">
        <f t="shared" si="41"/>
        <v>-</v>
      </c>
      <c r="M73" s="776" t="str">
        <f t="shared" si="41"/>
        <v>-</v>
      </c>
      <c r="N73" s="776" t="str">
        <f t="shared" si="41"/>
        <v>-</v>
      </c>
      <c r="O73" s="776" t="str">
        <f t="shared" si="41"/>
        <v>-</v>
      </c>
      <c r="P73" s="776" t="str">
        <f t="shared" si="41"/>
        <v>-</v>
      </c>
      <c r="Q73" s="777" t="str">
        <f t="shared" si="41"/>
        <v>-</v>
      </c>
    </row>
    <row r="74" spans="2:19" ht="18.75" customHeight="1">
      <c r="B74" s="471"/>
      <c r="C74" s="430" t="s">
        <v>3</v>
      </c>
      <c r="D74" s="79" t="s">
        <v>721</v>
      </c>
      <c r="E74" s="696">
        <f t="shared" ref="E74:P74" si="42">E25*$N36</f>
        <v>0</v>
      </c>
      <c r="F74" s="696">
        <f t="shared" si="42"/>
        <v>0</v>
      </c>
      <c r="G74" s="696">
        <f t="shared" si="42"/>
        <v>0</v>
      </c>
      <c r="H74" s="696">
        <f t="shared" si="42"/>
        <v>0</v>
      </c>
      <c r="I74" s="696">
        <f t="shared" si="42"/>
        <v>0</v>
      </c>
      <c r="J74" s="696">
        <f t="shared" si="42"/>
        <v>0</v>
      </c>
      <c r="K74" s="696">
        <f t="shared" si="42"/>
        <v>0</v>
      </c>
      <c r="L74" s="696">
        <f t="shared" si="42"/>
        <v>0</v>
      </c>
      <c r="M74" s="696">
        <f t="shared" si="42"/>
        <v>0</v>
      </c>
      <c r="N74" s="696">
        <f t="shared" si="42"/>
        <v>0</v>
      </c>
      <c r="O74" s="696">
        <f t="shared" si="42"/>
        <v>0</v>
      </c>
      <c r="P74" s="696">
        <f t="shared" si="42"/>
        <v>0</v>
      </c>
      <c r="Q74" s="698">
        <f t="shared" ref="Q74:Q76" si="43">SUM(E74:P74)</f>
        <v>0</v>
      </c>
    </row>
    <row r="75" spans="2:19" ht="18.75" customHeight="1">
      <c r="B75" s="471"/>
      <c r="C75" s="69"/>
      <c r="D75" s="453" t="s">
        <v>722</v>
      </c>
      <c r="E75" s="776" t="str">
        <f>IFERROR(E74/E58,"-")</f>
        <v>-</v>
      </c>
      <c r="F75" s="776" t="str">
        <f t="shared" ref="F75:Q75" si="44">IFERROR(F74/F58,"-")</f>
        <v>-</v>
      </c>
      <c r="G75" s="776" t="str">
        <f t="shared" si="44"/>
        <v>-</v>
      </c>
      <c r="H75" s="776" t="str">
        <f t="shared" si="44"/>
        <v>-</v>
      </c>
      <c r="I75" s="776" t="str">
        <f t="shared" si="44"/>
        <v>-</v>
      </c>
      <c r="J75" s="776" t="str">
        <f t="shared" si="44"/>
        <v>-</v>
      </c>
      <c r="K75" s="776" t="str">
        <f t="shared" si="44"/>
        <v>-</v>
      </c>
      <c r="L75" s="776" t="str">
        <f t="shared" si="44"/>
        <v>-</v>
      </c>
      <c r="M75" s="776" t="str">
        <f t="shared" si="44"/>
        <v>-</v>
      </c>
      <c r="N75" s="776" t="str">
        <f t="shared" si="44"/>
        <v>-</v>
      </c>
      <c r="O75" s="776" t="str">
        <f t="shared" si="44"/>
        <v>-</v>
      </c>
      <c r="P75" s="776" t="str">
        <f t="shared" si="44"/>
        <v>-</v>
      </c>
      <c r="Q75" s="777" t="str">
        <f t="shared" si="44"/>
        <v>-</v>
      </c>
    </row>
    <row r="76" spans="2:19" ht="18.75" customHeight="1">
      <c r="B76" s="472"/>
      <c r="C76" s="430" t="s">
        <v>880</v>
      </c>
      <c r="D76" s="79" t="s">
        <v>721</v>
      </c>
      <c r="E76" s="696">
        <f t="shared" ref="E76:P76" si="45">E26*$N37</f>
        <v>0</v>
      </c>
      <c r="F76" s="696">
        <f t="shared" si="45"/>
        <v>0</v>
      </c>
      <c r="G76" s="696">
        <f t="shared" si="45"/>
        <v>0</v>
      </c>
      <c r="H76" s="696">
        <f t="shared" si="45"/>
        <v>0</v>
      </c>
      <c r="I76" s="696">
        <f t="shared" si="45"/>
        <v>0</v>
      </c>
      <c r="J76" s="696">
        <f t="shared" si="45"/>
        <v>0</v>
      </c>
      <c r="K76" s="696">
        <f t="shared" si="45"/>
        <v>0</v>
      </c>
      <c r="L76" s="696">
        <f t="shared" si="45"/>
        <v>0</v>
      </c>
      <c r="M76" s="696">
        <f t="shared" si="45"/>
        <v>0</v>
      </c>
      <c r="N76" s="696">
        <f t="shared" si="45"/>
        <v>0</v>
      </c>
      <c r="O76" s="696">
        <f t="shared" si="45"/>
        <v>0</v>
      </c>
      <c r="P76" s="696">
        <f t="shared" si="45"/>
        <v>0</v>
      </c>
      <c r="Q76" s="698">
        <f t="shared" si="43"/>
        <v>0</v>
      </c>
    </row>
    <row r="77" spans="2:19" ht="18.75" customHeight="1">
      <c r="B77" s="472"/>
      <c r="C77" s="456"/>
      <c r="D77" s="453" t="s">
        <v>722</v>
      </c>
      <c r="E77" s="776" t="str">
        <f>IFERROR(E76/E59,"-")</f>
        <v>-</v>
      </c>
      <c r="F77" s="776" t="str">
        <f t="shared" ref="F77:Q77" si="46">IFERROR(F76/F59,"-")</f>
        <v>-</v>
      </c>
      <c r="G77" s="776" t="str">
        <f t="shared" si="46"/>
        <v>-</v>
      </c>
      <c r="H77" s="776" t="str">
        <f t="shared" si="46"/>
        <v>-</v>
      </c>
      <c r="I77" s="776" t="str">
        <f t="shared" si="46"/>
        <v>-</v>
      </c>
      <c r="J77" s="776" t="str">
        <f t="shared" si="46"/>
        <v>-</v>
      </c>
      <c r="K77" s="776" t="str">
        <f t="shared" si="46"/>
        <v>-</v>
      </c>
      <c r="L77" s="776" t="str">
        <f t="shared" si="46"/>
        <v>-</v>
      </c>
      <c r="M77" s="776" t="str">
        <f t="shared" si="46"/>
        <v>-</v>
      </c>
      <c r="N77" s="776" t="str">
        <f t="shared" si="46"/>
        <v>-</v>
      </c>
      <c r="O77" s="776" t="str">
        <f t="shared" si="46"/>
        <v>-</v>
      </c>
      <c r="P77" s="776" t="str">
        <f t="shared" si="46"/>
        <v>-</v>
      </c>
      <c r="Q77" s="777" t="str">
        <f t="shared" si="46"/>
        <v>-</v>
      </c>
    </row>
    <row r="78" spans="2:19" ht="18.75" customHeight="1">
      <c r="B78" s="473" t="s">
        <v>22</v>
      </c>
      <c r="C78" s="457"/>
      <c r="D78" s="79" t="s">
        <v>721</v>
      </c>
      <c r="E78" s="696">
        <f>E76+E74+E72+E70</f>
        <v>0</v>
      </c>
      <c r="F78" s="696">
        <f t="shared" ref="F78:P78" si="47">F76+F74+F72+F70</f>
        <v>0</v>
      </c>
      <c r="G78" s="696">
        <f t="shared" si="47"/>
        <v>0</v>
      </c>
      <c r="H78" s="696">
        <f t="shared" si="47"/>
        <v>0</v>
      </c>
      <c r="I78" s="696">
        <f t="shared" si="47"/>
        <v>0</v>
      </c>
      <c r="J78" s="696">
        <f t="shared" si="47"/>
        <v>0</v>
      </c>
      <c r="K78" s="696">
        <f t="shared" si="47"/>
        <v>0</v>
      </c>
      <c r="L78" s="696">
        <f t="shared" si="47"/>
        <v>0</v>
      </c>
      <c r="M78" s="696">
        <f t="shared" si="47"/>
        <v>0</v>
      </c>
      <c r="N78" s="696">
        <f t="shared" si="47"/>
        <v>0</v>
      </c>
      <c r="O78" s="696">
        <f t="shared" si="47"/>
        <v>0</v>
      </c>
      <c r="P78" s="696">
        <f t="shared" si="47"/>
        <v>0</v>
      </c>
      <c r="Q78" s="698">
        <f>SUM(E78:P78)</f>
        <v>0</v>
      </c>
      <c r="S78" s="455"/>
    </row>
    <row r="79" spans="2:19" ht="18.75" customHeight="1" thickBot="1">
      <c r="B79" s="474"/>
      <c r="C79" s="475"/>
      <c r="D79" s="467" t="s">
        <v>722</v>
      </c>
      <c r="E79" s="774" t="str">
        <f>IFERROR(E78/E60,"-")</f>
        <v>-</v>
      </c>
      <c r="F79" s="774" t="str">
        <f t="shared" ref="F79:Q79" si="48">IFERROR(F78/F60,"-")</f>
        <v>-</v>
      </c>
      <c r="G79" s="774" t="str">
        <f t="shared" si="48"/>
        <v>-</v>
      </c>
      <c r="H79" s="774" t="str">
        <f t="shared" si="48"/>
        <v>-</v>
      </c>
      <c r="I79" s="774" t="str">
        <f t="shared" si="48"/>
        <v>-</v>
      </c>
      <c r="J79" s="774" t="str">
        <f t="shared" si="48"/>
        <v>-</v>
      </c>
      <c r="K79" s="774" t="str">
        <f t="shared" si="48"/>
        <v>-</v>
      </c>
      <c r="L79" s="774" t="str">
        <f t="shared" si="48"/>
        <v>-</v>
      </c>
      <c r="M79" s="774" t="str">
        <f t="shared" si="48"/>
        <v>-</v>
      </c>
      <c r="N79" s="774" t="str">
        <f t="shared" si="48"/>
        <v>-</v>
      </c>
      <c r="O79" s="774" t="str">
        <f t="shared" si="48"/>
        <v>-</v>
      </c>
      <c r="P79" s="774" t="str">
        <f t="shared" si="48"/>
        <v>-</v>
      </c>
      <c r="Q79" s="775" t="str">
        <f t="shared" si="48"/>
        <v>-</v>
      </c>
      <c r="S79" s="455"/>
    </row>
    <row r="80" spans="2:19" ht="18.75" customHeight="1">
      <c r="B80" s="476" t="s">
        <v>13</v>
      </c>
      <c r="C80" s="477" t="s">
        <v>14</v>
      </c>
      <c r="D80" s="487" t="s">
        <v>721</v>
      </c>
      <c r="E80" s="699">
        <f t="shared" ref="E80:P80" si="49">E27*$N39</f>
        <v>0</v>
      </c>
      <c r="F80" s="699">
        <f t="shared" si="49"/>
        <v>0</v>
      </c>
      <c r="G80" s="699">
        <f t="shared" si="49"/>
        <v>0</v>
      </c>
      <c r="H80" s="699">
        <f t="shared" si="49"/>
        <v>0</v>
      </c>
      <c r="I80" s="699">
        <f t="shared" si="49"/>
        <v>0</v>
      </c>
      <c r="J80" s="699">
        <f t="shared" si="49"/>
        <v>0</v>
      </c>
      <c r="K80" s="699">
        <f t="shared" si="49"/>
        <v>0</v>
      </c>
      <c r="L80" s="699">
        <f t="shared" si="49"/>
        <v>0</v>
      </c>
      <c r="M80" s="699">
        <f t="shared" si="49"/>
        <v>0</v>
      </c>
      <c r="N80" s="699">
        <f t="shared" si="49"/>
        <v>0</v>
      </c>
      <c r="O80" s="699">
        <f t="shared" si="49"/>
        <v>0</v>
      </c>
      <c r="P80" s="699">
        <f t="shared" si="49"/>
        <v>0</v>
      </c>
      <c r="Q80" s="697">
        <f t="shared" ref="Q80:Q82" si="50">SUM(E80:P80)</f>
        <v>0</v>
      </c>
    </row>
    <row r="81" spans="2:17" ht="18.75" customHeight="1">
      <c r="B81" s="478"/>
      <c r="C81" s="479"/>
      <c r="D81" s="458" t="s">
        <v>724</v>
      </c>
      <c r="E81" s="776" t="str">
        <f>IFERROR(E80/E61,"-")</f>
        <v>-</v>
      </c>
      <c r="F81" s="776" t="str">
        <f t="shared" ref="F81:Q81" si="51">IFERROR(F80/F61,"-")</f>
        <v>-</v>
      </c>
      <c r="G81" s="776" t="str">
        <f t="shared" si="51"/>
        <v>-</v>
      </c>
      <c r="H81" s="776" t="str">
        <f t="shared" si="51"/>
        <v>-</v>
      </c>
      <c r="I81" s="776" t="str">
        <f t="shared" si="51"/>
        <v>-</v>
      </c>
      <c r="J81" s="776" t="str">
        <f t="shared" si="51"/>
        <v>-</v>
      </c>
      <c r="K81" s="776" t="str">
        <f t="shared" si="51"/>
        <v>-</v>
      </c>
      <c r="L81" s="776" t="str">
        <f t="shared" si="51"/>
        <v>-</v>
      </c>
      <c r="M81" s="776" t="str">
        <f t="shared" si="51"/>
        <v>-</v>
      </c>
      <c r="N81" s="776" t="str">
        <f t="shared" si="51"/>
        <v>-</v>
      </c>
      <c r="O81" s="776" t="str">
        <f t="shared" si="51"/>
        <v>-</v>
      </c>
      <c r="P81" s="776" t="str">
        <f t="shared" si="51"/>
        <v>-</v>
      </c>
      <c r="Q81" s="777" t="str">
        <f t="shared" si="51"/>
        <v>-</v>
      </c>
    </row>
    <row r="82" spans="2:17" ht="18.75" customHeight="1">
      <c r="B82" s="480"/>
      <c r="C82" s="481" t="s">
        <v>16</v>
      </c>
      <c r="D82" s="488" t="s">
        <v>721</v>
      </c>
      <c r="E82" s="696">
        <f t="shared" ref="E82:P82" si="52">E28*$N40</f>
        <v>0</v>
      </c>
      <c r="F82" s="696">
        <f t="shared" si="52"/>
        <v>0</v>
      </c>
      <c r="G82" s="696">
        <f t="shared" si="52"/>
        <v>0</v>
      </c>
      <c r="H82" s="696">
        <f t="shared" si="52"/>
        <v>0</v>
      </c>
      <c r="I82" s="696">
        <f t="shared" si="52"/>
        <v>0</v>
      </c>
      <c r="J82" s="696">
        <f t="shared" si="52"/>
        <v>0</v>
      </c>
      <c r="K82" s="696">
        <f t="shared" si="52"/>
        <v>0</v>
      </c>
      <c r="L82" s="696">
        <f t="shared" si="52"/>
        <v>0</v>
      </c>
      <c r="M82" s="696">
        <f t="shared" si="52"/>
        <v>0</v>
      </c>
      <c r="N82" s="696">
        <f t="shared" si="52"/>
        <v>0</v>
      </c>
      <c r="O82" s="696">
        <f t="shared" si="52"/>
        <v>0</v>
      </c>
      <c r="P82" s="696">
        <f t="shared" si="52"/>
        <v>0</v>
      </c>
      <c r="Q82" s="698">
        <f t="shared" si="50"/>
        <v>0</v>
      </c>
    </row>
    <row r="83" spans="2:17" ht="18.75" customHeight="1">
      <c r="B83" s="480"/>
      <c r="C83" s="482"/>
      <c r="D83" s="458" t="s">
        <v>724</v>
      </c>
      <c r="E83" s="776" t="str">
        <f>IFERROR(E82/E62,"-")</f>
        <v>-</v>
      </c>
      <c r="F83" s="776" t="str">
        <f t="shared" ref="F83:Q83" si="53">IFERROR(F82/F62,"-")</f>
        <v>-</v>
      </c>
      <c r="G83" s="776" t="str">
        <f t="shared" si="53"/>
        <v>-</v>
      </c>
      <c r="H83" s="776" t="str">
        <f t="shared" si="53"/>
        <v>-</v>
      </c>
      <c r="I83" s="776" t="str">
        <f t="shared" si="53"/>
        <v>-</v>
      </c>
      <c r="J83" s="776" t="str">
        <f t="shared" si="53"/>
        <v>-</v>
      </c>
      <c r="K83" s="776" t="str">
        <f t="shared" si="53"/>
        <v>-</v>
      </c>
      <c r="L83" s="776" t="str">
        <f t="shared" si="53"/>
        <v>-</v>
      </c>
      <c r="M83" s="776" t="str">
        <f t="shared" si="53"/>
        <v>-</v>
      </c>
      <c r="N83" s="776" t="str">
        <f t="shared" si="53"/>
        <v>-</v>
      </c>
      <c r="O83" s="776" t="str">
        <f t="shared" si="53"/>
        <v>-</v>
      </c>
      <c r="P83" s="776" t="str">
        <f t="shared" si="53"/>
        <v>-</v>
      </c>
      <c r="Q83" s="777" t="str">
        <f t="shared" si="53"/>
        <v>-</v>
      </c>
    </row>
    <row r="84" spans="2:17" ht="18.75" customHeight="1">
      <c r="B84" s="483" t="s">
        <v>23</v>
      </c>
      <c r="C84" s="484"/>
      <c r="D84" s="488" t="s">
        <v>721</v>
      </c>
      <c r="E84" s="696">
        <f>E80+E82</f>
        <v>0</v>
      </c>
      <c r="F84" s="696">
        <f t="shared" ref="F84:P84" si="54">F80+F82</f>
        <v>0</v>
      </c>
      <c r="G84" s="696">
        <f t="shared" si="54"/>
        <v>0</v>
      </c>
      <c r="H84" s="696">
        <f t="shared" si="54"/>
        <v>0</v>
      </c>
      <c r="I84" s="696">
        <f t="shared" si="54"/>
        <v>0</v>
      </c>
      <c r="J84" s="696">
        <f t="shared" si="54"/>
        <v>0</v>
      </c>
      <c r="K84" s="696">
        <f t="shared" si="54"/>
        <v>0</v>
      </c>
      <c r="L84" s="696">
        <f t="shared" si="54"/>
        <v>0</v>
      </c>
      <c r="M84" s="696">
        <f t="shared" si="54"/>
        <v>0</v>
      </c>
      <c r="N84" s="696">
        <f t="shared" si="54"/>
        <v>0</v>
      </c>
      <c r="O84" s="696">
        <f t="shared" si="54"/>
        <v>0</v>
      </c>
      <c r="P84" s="696">
        <f t="shared" si="54"/>
        <v>0</v>
      </c>
      <c r="Q84" s="698">
        <f>SUM(E84:P84)</f>
        <v>0</v>
      </c>
    </row>
    <row r="85" spans="2:17" ht="18.75" customHeight="1" thickBot="1">
      <c r="B85" s="485"/>
      <c r="C85" s="486"/>
      <c r="D85" s="467" t="s">
        <v>724</v>
      </c>
      <c r="E85" s="774" t="str">
        <f>IFERROR(E84/E63,"-")</f>
        <v>-</v>
      </c>
      <c r="F85" s="774" t="str">
        <f t="shared" ref="F85:Q85" si="55">IFERROR(F84/F63,"-")</f>
        <v>-</v>
      </c>
      <c r="G85" s="774" t="str">
        <f t="shared" si="55"/>
        <v>-</v>
      </c>
      <c r="H85" s="774" t="str">
        <f t="shared" si="55"/>
        <v>-</v>
      </c>
      <c r="I85" s="774" t="str">
        <f t="shared" si="55"/>
        <v>-</v>
      </c>
      <c r="J85" s="774" t="str">
        <f t="shared" si="55"/>
        <v>-</v>
      </c>
      <c r="K85" s="774" t="str">
        <f t="shared" si="55"/>
        <v>-</v>
      </c>
      <c r="L85" s="774" t="str">
        <f t="shared" si="55"/>
        <v>-</v>
      </c>
      <c r="M85" s="774" t="str">
        <f t="shared" si="55"/>
        <v>-</v>
      </c>
      <c r="N85" s="774" t="str">
        <f t="shared" si="55"/>
        <v>-</v>
      </c>
      <c r="O85" s="774" t="str">
        <f t="shared" si="55"/>
        <v>-</v>
      </c>
      <c r="P85" s="774" t="str">
        <f t="shared" si="55"/>
        <v>-</v>
      </c>
      <c r="Q85" s="775" t="str">
        <f t="shared" si="55"/>
        <v>-</v>
      </c>
    </row>
    <row r="86" spans="2:17" ht="18.75" customHeight="1">
      <c r="B86" s="489" t="s">
        <v>24</v>
      </c>
      <c r="C86" s="490"/>
      <c r="D86" s="493" t="s">
        <v>721</v>
      </c>
      <c r="E86" s="699">
        <f>SUM(E68,E84,E78)</f>
        <v>0</v>
      </c>
      <c r="F86" s="699">
        <f t="shared" ref="F86:P86" si="56">SUM(F68,F84,F78)</f>
        <v>0</v>
      </c>
      <c r="G86" s="699">
        <f t="shared" si="56"/>
        <v>0</v>
      </c>
      <c r="H86" s="699">
        <f t="shared" si="56"/>
        <v>0</v>
      </c>
      <c r="I86" s="699">
        <f t="shared" si="56"/>
        <v>0</v>
      </c>
      <c r="J86" s="699">
        <f t="shared" si="56"/>
        <v>0</v>
      </c>
      <c r="K86" s="699">
        <f t="shared" si="56"/>
        <v>0</v>
      </c>
      <c r="L86" s="699">
        <f t="shared" si="56"/>
        <v>0</v>
      </c>
      <c r="M86" s="699">
        <f t="shared" si="56"/>
        <v>0</v>
      </c>
      <c r="N86" s="699">
        <f t="shared" si="56"/>
        <v>0</v>
      </c>
      <c r="O86" s="699">
        <f t="shared" si="56"/>
        <v>0</v>
      </c>
      <c r="P86" s="699">
        <f t="shared" si="56"/>
        <v>0</v>
      </c>
      <c r="Q86" s="697">
        <f>SUM(Q68,Q84,Q78)</f>
        <v>0</v>
      </c>
    </row>
    <row r="87" spans="2:17" ht="18.75" customHeight="1" thickBot="1">
      <c r="B87" s="491"/>
      <c r="C87" s="492"/>
      <c r="D87" s="467" t="s">
        <v>724</v>
      </c>
      <c r="E87" s="774" t="str">
        <f>IFERROR(E86/E64,"-")</f>
        <v>-</v>
      </c>
      <c r="F87" s="774" t="str">
        <f t="shared" ref="F87:Q87" si="57">IFERROR(F86/F64,"-")</f>
        <v>-</v>
      </c>
      <c r="G87" s="774" t="str">
        <f t="shared" si="57"/>
        <v>-</v>
      </c>
      <c r="H87" s="774" t="str">
        <f t="shared" si="57"/>
        <v>-</v>
      </c>
      <c r="I87" s="774" t="str">
        <f t="shared" si="57"/>
        <v>-</v>
      </c>
      <c r="J87" s="774" t="str">
        <f t="shared" si="57"/>
        <v>-</v>
      </c>
      <c r="K87" s="774" t="str">
        <f t="shared" si="57"/>
        <v>-</v>
      </c>
      <c r="L87" s="774" t="str">
        <f t="shared" si="57"/>
        <v>-</v>
      </c>
      <c r="M87" s="774" t="str">
        <f t="shared" si="57"/>
        <v>-</v>
      </c>
      <c r="N87" s="774" t="str">
        <f t="shared" si="57"/>
        <v>-</v>
      </c>
      <c r="O87" s="774" t="str">
        <f t="shared" si="57"/>
        <v>-</v>
      </c>
      <c r="P87" s="774" t="str">
        <f t="shared" si="57"/>
        <v>-</v>
      </c>
      <c r="Q87" s="775" t="str">
        <f t="shared" si="57"/>
        <v>-</v>
      </c>
    </row>
    <row r="88" spans="2:17" ht="10" customHeight="1"/>
    <row r="89" spans="2:17" ht="9.75" customHeight="1"/>
    <row r="90" spans="2:17" ht="18.75" customHeight="1">
      <c r="D90" s="11"/>
      <c r="E90" s="11"/>
      <c r="F90" s="11"/>
      <c r="G90" s="5"/>
      <c r="H90" s="6"/>
      <c r="L90" s="6"/>
      <c r="M90" s="6"/>
    </row>
    <row r="91" spans="2:17" ht="18.75" customHeight="1">
      <c r="M91" s="6"/>
    </row>
    <row r="92" spans="2:17" ht="30" customHeight="1">
      <c r="M92" s="6"/>
    </row>
    <row r="93" spans="2:17" ht="18.75" customHeight="1">
      <c r="M93" s="6"/>
    </row>
    <row r="94" spans="2:17" ht="18.75" customHeight="1">
      <c r="M94" s="6"/>
    </row>
    <row r="95" spans="2:17" ht="18.75" customHeight="1">
      <c r="M95" s="6"/>
    </row>
    <row r="96" spans="2:17" ht="18.75" customHeight="1">
      <c r="D96" s="11"/>
      <c r="E96" s="11"/>
      <c r="F96" s="11"/>
      <c r="G96" s="5"/>
      <c r="H96" s="6"/>
      <c r="L96" s="6"/>
      <c r="M96" s="6"/>
    </row>
  </sheetData>
  <protectedRanges>
    <protectedRange sqref="E12:P18 E20:E21 E22:P28" name="範囲1"/>
  </protectedRanges>
  <mergeCells count="66">
    <mergeCell ref="B34:B38"/>
    <mergeCell ref="B39:B41"/>
    <mergeCell ref="D31:J31"/>
    <mergeCell ref="D46:J46"/>
    <mergeCell ref="D47:J47"/>
    <mergeCell ref="E43:F43"/>
    <mergeCell ref="E44:F44"/>
    <mergeCell ref="H40:J40"/>
    <mergeCell ref="D32:F32"/>
    <mergeCell ref="D39:E39"/>
    <mergeCell ref="D40:E40"/>
    <mergeCell ref="D33:E33"/>
    <mergeCell ref="D34:E34"/>
    <mergeCell ref="D35:E35"/>
    <mergeCell ref="D36:E36"/>
    <mergeCell ref="D37:E37"/>
    <mergeCell ref="AH7:AH8"/>
    <mergeCell ref="P42:Q42"/>
    <mergeCell ref="I42:J42"/>
    <mergeCell ref="L43:M43"/>
    <mergeCell ref="L44:M44"/>
    <mergeCell ref="N44:O44"/>
    <mergeCell ref="N43:O43"/>
    <mergeCell ref="K31:Q31"/>
    <mergeCell ref="H32:J32"/>
    <mergeCell ref="H33:J33"/>
    <mergeCell ref="H34:J34"/>
    <mergeCell ref="H35:J35"/>
    <mergeCell ref="H36:J36"/>
    <mergeCell ref="H37:J37"/>
    <mergeCell ref="H38:J38"/>
    <mergeCell ref="H39:J39"/>
    <mergeCell ref="O37:Q37"/>
    <mergeCell ref="O38:Q38"/>
    <mergeCell ref="O39:Q39"/>
    <mergeCell ref="O40:Q40"/>
    <mergeCell ref="O41:Q41"/>
    <mergeCell ref="O32:Q32"/>
    <mergeCell ref="O33:Q33"/>
    <mergeCell ref="O34:Q34"/>
    <mergeCell ref="O35:Q35"/>
    <mergeCell ref="O36:Q36"/>
    <mergeCell ref="I43:J43"/>
    <mergeCell ref="K39:L39"/>
    <mergeCell ref="K40:L40"/>
    <mergeCell ref="K33:L33"/>
    <mergeCell ref="K34:L34"/>
    <mergeCell ref="K35:L35"/>
    <mergeCell ref="K36:L36"/>
    <mergeCell ref="K37:L37"/>
    <mergeCell ref="I44:J44"/>
    <mergeCell ref="K32:M32"/>
    <mergeCell ref="B45:B47"/>
    <mergeCell ref="K38:N38"/>
    <mergeCell ref="D38:G38"/>
    <mergeCell ref="D41:G41"/>
    <mergeCell ref="K41:N41"/>
    <mergeCell ref="K45:Q45"/>
    <mergeCell ref="K46:Q46"/>
    <mergeCell ref="K47:Q47"/>
    <mergeCell ref="G44:H44"/>
    <mergeCell ref="G43:H43"/>
    <mergeCell ref="D45:J45"/>
    <mergeCell ref="H41:J41"/>
    <mergeCell ref="P43:Q43"/>
    <mergeCell ref="P44:Q44"/>
  </mergeCells>
  <phoneticPr fontId="2"/>
  <printOptions horizontalCentered="1"/>
  <pageMargins left="0.7" right="0.7" top="0.75" bottom="0.75" header="0.3" footer="0.3"/>
  <pageSetup paperSize="9" scale="45" orientation="portrait" r:id="rId1"/>
  <ignoredErrors>
    <ignoredError sqref="Q69:Q78 Q79:Q87"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F9042-DE1D-4DF2-B4C7-22A3D8B5177A}">
  <sheetPr codeName="Sheet12"/>
  <dimension ref="A1:U28"/>
  <sheetViews>
    <sheetView zoomScaleNormal="100" zoomScaleSheetLayoutView="100" workbookViewId="0">
      <pane ySplit="1" topLeftCell="A2" activePane="bottomLeft" state="frozen"/>
      <selection pane="bottomLeft" activeCell="A2" sqref="A2"/>
    </sheetView>
  </sheetViews>
  <sheetFormatPr defaultColWidth="8.58203125" defaultRowHeight="13"/>
  <cols>
    <col min="1" max="1" width="3.58203125" style="112" customWidth="1"/>
    <col min="2" max="2" width="7.58203125" style="112" customWidth="1"/>
    <col min="3" max="20" width="10.58203125" style="112" customWidth="1"/>
    <col min="21" max="16384" width="8.58203125" style="112"/>
  </cols>
  <sheetData>
    <row r="1" spans="1:21" s="114" customFormat="1" ht="30" customHeight="1">
      <c r="A1" s="163" t="s">
        <v>196</v>
      </c>
      <c r="B1" s="164"/>
      <c r="C1" s="164"/>
      <c r="D1" s="164"/>
      <c r="E1" s="164"/>
      <c r="F1" s="164"/>
      <c r="G1" s="164"/>
      <c r="H1" s="177"/>
      <c r="I1" s="164"/>
      <c r="J1" s="164"/>
      <c r="K1" s="167"/>
      <c r="L1" s="164"/>
      <c r="M1" s="164"/>
      <c r="N1" s="164"/>
      <c r="O1" s="164"/>
      <c r="P1" s="164"/>
      <c r="Q1" s="164"/>
      <c r="R1" s="164"/>
      <c r="S1" s="164"/>
      <c r="T1" s="164"/>
      <c r="U1" s="164"/>
    </row>
    <row r="2" spans="1:21" s="380" customFormat="1" ht="18.75" customHeight="1">
      <c r="A2" s="379"/>
      <c r="B2" s="379"/>
      <c r="C2" s="379"/>
      <c r="D2" s="379"/>
      <c r="E2" s="379"/>
      <c r="F2" s="379"/>
      <c r="G2" s="379"/>
      <c r="H2" s="379"/>
      <c r="I2" s="379"/>
      <c r="J2" s="379"/>
      <c r="K2" s="379"/>
      <c r="L2" s="379"/>
      <c r="M2" s="379"/>
      <c r="N2" s="379"/>
      <c r="O2" s="379"/>
      <c r="P2" s="379"/>
      <c r="Q2" s="379"/>
      <c r="R2" s="379"/>
      <c r="S2" s="379"/>
      <c r="T2" s="379"/>
      <c r="U2" s="379"/>
    </row>
    <row r="3" spans="1:21" s="380" customFormat="1" ht="18.75" customHeight="1">
      <c r="A3" s="379"/>
      <c r="B3" s="379"/>
      <c r="C3" s="115" t="s">
        <v>197</v>
      </c>
      <c r="D3" s="116"/>
      <c r="E3" s="117" t="s">
        <v>198</v>
      </c>
      <c r="F3" s="117" t="s">
        <v>199</v>
      </c>
      <c r="G3" s="121" t="s">
        <v>200</v>
      </c>
      <c r="H3" s="117" t="s">
        <v>201</v>
      </c>
      <c r="I3" s="122" t="s">
        <v>202</v>
      </c>
      <c r="J3" s="379"/>
      <c r="K3" s="379"/>
      <c r="L3" s="96" t="s">
        <v>674</v>
      </c>
      <c r="M3" s="437"/>
      <c r="N3" s="437"/>
      <c r="O3" s="437"/>
      <c r="P3" s="437"/>
      <c r="Q3" s="437"/>
      <c r="R3" s="437"/>
      <c r="S3" s="437"/>
      <c r="T3" s="97"/>
    </row>
    <row r="4" spans="1:21" s="380" customFormat="1" ht="18.75" customHeight="1">
      <c r="A4" s="379"/>
      <c r="B4" s="379"/>
      <c r="C4" s="118" t="s">
        <v>203</v>
      </c>
      <c r="D4" s="119"/>
      <c r="E4" s="117" t="s">
        <v>204</v>
      </c>
      <c r="F4" s="897">
        <f>$J$16</f>
        <v>0</v>
      </c>
      <c r="G4" s="898">
        <f>$Q$16</f>
        <v>0</v>
      </c>
      <c r="H4" s="616">
        <f>F4-G4</f>
        <v>0</v>
      </c>
      <c r="I4" s="621">
        <f>IF(OR(F4=0,H4=0),0,H4/F4)</f>
        <v>0</v>
      </c>
      <c r="J4" s="379"/>
      <c r="K4" s="379"/>
      <c r="L4" s="431"/>
      <c r="M4" s="432"/>
      <c r="N4" s="432"/>
      <c r="O4" s="432"/>
      <c r="P4" s="432"/>
      <c r="Q4" s="432"/>
      <c r="R4" s="432"/>
      <c r="S4" s="432"/>
      <c r="T4" s="433"/>
    </row>
    <row r="5" spans="1:21" s="380" customFormat="1" ht="18.75" customHeight="1">
      <c r="A5" s="379"/>
      <c r="B5" s="379"/>
      <c r="C5" s="118" t="s">
        <v>205</v>
      </c>
      <c r="D5" s="119"/>
      <c r="E5" s="120" t="s">
        <v>374</v>
      </c>
      <c r="F5" s="897">
        <f>$K$16</f>
        <v>0</v>
      </c>
      <c r="G5" s="898">
        <f>$R$16</f>
        <v>0</v>
      </c>
      <c r="H5" s="616">
        <f>F5-G5</f>
        <v>0</v>
      </c>
      <c r="I5" s="621">
        <f t="shared" ref="I5" si="0">IF(OR(F5=0,H5=0),0,H5/F5)</f>
        <v>0</v>
      </c>
      <c r="J5" s="379"/>
      <c r="K5" s="379"/>
      <c r="L5" s="379"/>
      <c r="M5" s="379"/>
      <c r="N5" s="379"/>
      <c r="O5" s="379"/>
      <c r="P5" s="379"/>
      <c r="Q5" s="379"/>
      <c r="R5" s="379"/>
      <c r="S5" s="379"/>
      <c r="T5" s="379"/>
    </row>
    <row r="6" spans="1:21" s="380" customFormat="1" ht="18.75" customHeight="1">
      <c r="A6" s="379"/>
      <c r="B6" s="379"/>
      <c r="C6" s="118" t="s">
        <v>207</v>
      </c>
      <c r="D6" s="119"/>
      <c r="E6" s="117" t="s">
        <v>208</v>
      </c>
      <c r="F6" s="746">
        <f>F4*【共通】事業所の光熱費!$H$6</f>
        <v>0</v>
      </c>
      <c r="G6" s="746">
        <f>G4*【共通】事業所の光熱費!$H$6</f>
        <v>0</v>
      </c>
      <c r="H6" s="911">
        <f>IF(OR(F6="ー",G6="ー"),"ー",H4*【共通】事業所の光熱費!$H$6)</f>
        <v>0</v>
      </c>
      <c r="I6" s="621">
        <f>IF(OR(F6=0,H6=0),0,H6/F6)</f>
        <v>0</v>
      </c>
      <c r="J6" s="379"/>
      <c r="K6" s="379"/>
      <c r="L6" s="96" t="s">
        <v>675</v>
      </c>
      <c r="M6" s="437"/>
      <c r="N6" s="437"/>
      <c r="O6" s="437"/>
      <c r="P6" s="437"/>
      <c r="Q6" s="437"/>
      <c r="R6" s="437"/>
      <c r="S6" s="437"/>
      <c r="T6" s="97"/>
    </row>
    <row r="7" spans="1:21" s="380" customFormat="1" ht="18.75" customHeight="1">
      <c r="A7" s="379"/>
      <c r="B7" s="379"/>
      <c r="C7" s="173" t="s">
        <v>436</v>
      </c>
      <c r="D7" s="174"/>
      <c r="E7" s="117" t="s">
        <v>209</v>
      </c>
      <c r="F7" s="538">
        <f>F4*'(参考)排出係数'!$C$3*0.0000258</f>
        <v>0</v>
      </c>
      <c r="G7" s="538">
        <f>G4*'(参考)排出係数'!$C$3*0.0000258</f>
        <v>0</v>
      </c>
      <c r="H7" s="539">
        <f>F7-G7</f>
        <v>0</v>
      </c>
      <c r="I7" s="621">
        <f>IF(OR(F7=0,H7=0),0,H7/F7)</f>
        <v>0</v>
      </c>
      <c r="J7" s="379"/>
      <c r="K7" s="379"/>
      <c r="L7" s="84" t="s">
        <v>676</v>
      </c>
      <c r="M7" s="90" t="s">
        <v>716</v>
      </c>
      <c r="N7" s="90" t="s">
        <v>717</v>
      </c>
      <c r="O7" s="1809" t="str">
        <f>IF(OR(OR(M8="",N8=""),AND(M8="なし",N8="なし")),"－",IF(COUNTIF(M8:N8,"増加")&gt;0,"やむを得ず増加する場合は特記事項欄に理由を記載してください。","減少する理由を特記事項欄に記載してください。"))</f>
        <v>－</v>
      </c>
      <c r="P7" s="1810"/>
      <c r="Q7" s="1810"/>
      <c r="R7" s="1810"/>
      <c r="S7" s="1810"/>
      <c r="T7" s="1811"/>
    </row>
    <row r="8" spans="1:21" s="380" customFormat="1" ht="18.75" customHeight="1">
      <c r="A8" s="379"/>
      <c r="B8" s="379"/>
      <c r="C8" s="33" t="s">
        <v>376</v>
      </c>
      <c r="D8" s="379"/>
      <c r="E8" s="379"/>
      <c r="F8" s="379"/>
      <c r="G8" s="379"/>
      <c r="H8" s="379"/>
      <c r="I8" s="379"/>
      <c r="J8" s="379"/>
      <c r="K8" s="381"/>
      <c r="L8" s="84" t="s">
        <v>718</v>
      </c>
      <c r="M8" s="286" t="str">
        <f>IF(OR(G16=0,N16=0),"",IF(G16=N16,"なし",IF(G16&gt;N16,"減少","増加")))</f>
        <v/>
      </c>
      <c r="N8" s="286" t="str">
        <f>IF(OR(H16=0,O16=0),"",IF(H16=O16,"なし",IF(H16&gt;O16,"減少","増加")))</f>
        <v/>
      </c>
      <c r="O8" s="1812"/>
      <c r="P8" s="1813"/>
      <c r="Q8" s="1813"/>
      <c r="R8" s="1813"/>
      <c r="S8" s="1813"/>
      <c r="T8" s="1814"/>
    </row>
    <row r="9" spans="1:21" s="380" customFormat="1" ht="18.75" customHeight="1">
      <c r="A9" s="379"/>
      <c r="B9" s="379"/>
      <c r="C9" s="33"/>
      <c r="D9" s="379"/>
      <c r="E9" s="379"/>
      <c r="F9" s="379"/>
      <c r="G9" s="379"/>
      <c r="H9" s="379"/>
      <c r="I9" s="379"/>
      <c r="J9" s="379"/>
      <c r="K9" s="381"/>
      <c r="L9" s="33"/>
      <c r="M9" s="108"/>
      <c r="N9" s="108"/>
      <c r="O9" s="108"/>
      <c r="P9" s="108"/>
      <c r="Q9" s="108"/>
      <c r="R9" s="108"/>
      <c r="S9" s="108"/>
      <c r="T9" s="108"/>
    </row>
    <row r="10" spans="1:21" s="380" customFormat="1" ht="18.75" customHeight="1">
      <c r="A10" s="379"/>
      <c r="B10" s="379"/>
      <c r="C10" s="379"/>
      <c r="D10" s="379"/>
      <c r="E10" s="379"/>
      <c r="F10" s="379"/>
      <c r="G10" s="379"/>
      <c r="H10" s="379"/>
      <c r="I10" s="379"/>
      <c r="J10" s="379"/>
      <c r="K10" s="379"/>
      <c r="L10" s="33"/>
      <c r="M10" s="108"/>
      <c r="N10" s="108"/>
      <c r="O10" s="108"/>
      <c r="P10" s="108"/>
      <c r="Q10" s="108"/>
      <c r="R10" s="108"/>
      <c r="S10" s="108"/>
      <c r="T10" s="108"/>
    </row>
    <row r="11" spans="1:21" s="380" customFormat="1" ht="18.75" customHeight="1">
      <c r="A11" s="379"/>
      <c r="B11" s="379"/>
      <c r="C11" s="439" t="s">
        <v>43</v>
      </c>
      <c r="D11" s="440" t="s">
        <v>668</v>
      </c>
      <c r="E11" s="441" t="s">
        <v>723</v>
      </c>
      <c r="F11" s="379"/>
      <c r="G11" s="379"/>
      <c r="H11" s="379"/>
      <c r="I11" s="379"/>
      <c r="J11" s="379"/>
      <c r="K11" s="379"/>
      <c r="L11" s="379"/>
      <c r="M11" s="379"/>
      <c r="N11" s="379"/>
      <c r="O11" s="352" t="s">
        <v>719</v>
      </c>
      <c r="P11" s="379"/>
      <c r="Q11" s="379"/>
      <c r="R11" s="379"/>
      <c r="S11" s="379"/>
      <c r="T11" s="379"/>
      <c r="U11" s="379"/>
    </row>
    <row r="12" spans="1:21" s="380" customFormat="1" ht="18.75" customHeight="1">
      <c r="A12" s="379"/>
      <c r="B12" s="1688" t="s">
        <v>197</v>
      </c>
      <c r="C12" s="291" t="s">
        <v>199</v>
      </c>
      <c r="D12" s="382"/>
      <c r="E12" s="382"/>
      <c r="F12" s="382"/>
      <c r="G12" s="382"/>
      <c r="H12" s="382"/>
      <c r="I12" s="382"/>
      <c r="J12" s="382"/>
      <c r="K12" s="383"/>
      <c r="L12" s="357" t="s">
        <v>200</v>
      </c>
      <c r="M12" s="384"/>
      <c r="N12" s="384"/>
      <c r="O12" s="384"/>
      <c r="P12" s="384"/>
      <c r="Q12" s="384"/>
      <c r="R12" s="385"/>
      <c r="S12" s="360" t="s">
        <v>210</v>
      </c>
      <c r="T12" s="386"/>
      <c r="U12" s="379"/>
    </row>
    <row r="13" spans="1:21" s="378" customFormat="1" ht="45" customHeight="1">
      <c r="A13" s="308"/>
      <c r="B13" s="1690"/>
      <c r="C13" s="125" t="s">
        <v>223</v>
      </c>
      <c r="D13" s="125" t="s">
        <v>211</v>
      </c>
      <c r="E13" s="45" t="s">
        <v>93</v>
      </c>
      <c r="F13" s="45" t="s">
        <v>94</v>
      </c>
      <c r="G13" s="125" t="s">
        <v>225</v>
      </c>
      <c r="H13" s="125" t="s">
        <v>226</v>
      </c>
      <c r="I13" s="125" t="s">
        <v>212</v>
      </c>
      <c r="J13" s="125" t="s">
        <v>213</v>
      </c>
      <c r="K13" s="125" t="s">
        <v>214</v>
      </c>
      <c r="L13" s="131" t="s">
        <v>223</v>
      </c>
      <c r="M13" s="131" t="s">
        <v>215</v>
      </c>
      <c r="N13" s="131" t="s">
        <v>225</v>
      </c>
      <c r="O13" s="131" t="s">
        <v>226</v>
      </c>
      <c r="P13" s="131" t="s">
        <v>216</v>
      </c>
      <c r="Q13" s="131" t="s">
        <v>217</v>
      </c>
      <c r="R13" s="131" t="s">
        <v>218</v>
      </c>
      <c r="S13" s="120" t="s">
        <v>227</v>
      </c>
      <c r="T13" s="120" t="s">
        <v>228</v>
      </c>
      <c r="U13" s="308"/>
    </row>
    <row r="14" spans="1:21" s="354" customFormat="1" ht="18.75" customHeight="1">
      <c r="A14" s="352"/>
      <c r="B14" s="364" t="s">
        <v>198</v>
      </c>
      <c r="C14" s="42" t="s">
        <v>45</v>
      </c>
      <c r="D14" s="42" t="s">
        <v>45</v>
      </c>
      <c r="E14" s="290" t="s">
        <v>219</v>
      </c>
      <c r="F14" s="42" t="s">
        <v>45</v>
      </c>
      <c r="G14" s="290" t="s">
        <v>220</v>
      </c>
      <c r="H14" s="290" t="s">
        <v>220</v>
      </c>
      <c r="I14" s="290" t="s">
        <v>221</v>
      </c>
      <c r="J14" s="290" t="s">
        <v>204</v>
      </c>
      <c r="K14" s="125" t="s">
        <v>374</v>
      </c>
      <c r="L14" s="87" t="s">
        <v>45</v>
      </c>
      <c r="M14" s="362" t="s">
        <v>219</v>
      </c>
      <c r="N14" s="131" t="s">
        <v>220</v>
      </c>
      <c r="O14" s="131" t="s">
        <v>220</v>
      </c>
      <c r="P14" s="362" t="s">
        <v>221</v>
      </c>
      <c r="Q14" s="362" t="s">
        <v>204</v>
      </c>
      <c r="R14" s="131" t="s">
        <v>374</v>
      </c>
      <c r="S14" s="117" t="s">
        <v>204</v>
      </c>
      <c r="T14" s="120" t="s">
        <v>374</v>
      </c>
      <c r="U14" s="352"/>
    </row>
    <row r="15" spans="1:21" s="375" customFormat="1" ht="18.75" customHeight="1" thickBot="1">
      <c r="A15" s="353"/>
      <c r="B15" s="925" t="s">
        <v>77</v>
      </c>
      <c r="C15" s="936" t="s">
        <v>229</v>
      </c>
      <c r="D15" s="1240">
        <v>2012</v>
      </c>
      <c r="E15" s="1232">
        <v>1</v>
      </c>
      <c r="F15" s="1241">
        <f>IF(D15="",1,MIN(1.5,(2024-D15)*0.05+1))</f>
        <v>1.5</v>
      </c>
      <c r="G15" s="1230">
        <v>180</v>
      </c>
      <c r="H15" s="1230">
        <v>600</v>
      </c>
      <c r="I15" s="1233">
        <v>360</v>
      </c>
      <c r="J15" s="1233">
        <v>1400</v>
      </c>
      <c r="K15" s="1191">
        <f>J15*E15*F15*'(参考)排出係数'!$F$3</f>
        <v>903</v>
      </c>
      <c r="L15" s="936" t="s">
        <v>1193</v>
      </c>
      <c r="M15" s="1232">
        <v>1</v>
      </c>
      <c r="N15" s="1230">
        <v>180</v>
      </c>
      <c r="O15" s="1230">
        <v>600</v>
      </c>
      <c r="P15" s="1233">
        <v>320</v>
      </c>
      <c r="Q15" s="1233">
        <v>1300</v>
      </c>
      <c r="R15" s="1191">
        <f>Q15*M15*'(参考)排出係数'!$F$3</f>
        <v>559</v>
      </c>
      <c r="S15" s="1188">
        <f>J15*E15*F15-Q15*M15</f>
        <v>800</v>
      </c>
      <c r="T15" s="1191">
        <f>K15-R15</f>
        <v>344</v>
      </c>
      <c r="U15" s="353"/>
    </row>
    <row r="16" spans="1:21" s="354" customFormat="1" ht="18.75" customHeight="1" thickTop="1" thickBot="1">
      <c r="A16" s="352"/>
      <c r="B16" s="937" t="s">
        <v>224</v>
      </c>
      <c r="C16" s="1108"/>
      <c r="D16" s="1109"/>
      <c r="E16" s="1231">
        <f>SUM(E17:E26)</f>
        <v>0</v>
      </c>
      <c r="F16" s="1109"/>
      <c r="G16" s="1231" cm="1">
        <f t="array" ref="G16">SUMPRODUCT($E17:$E$26*G$17:G$26)</f>
        <v>0</v>
      </c>
      <c r="H16" s="1231">
        <f>SUMPRODUCT($E17:$E$26*H$17:H$26)</f>
        <v>0</v>
      </c>
      <c r="I16" s="1131"/>
      <c r="J16" s="1137" cm="1">
        <f t="array" ref="J16">SUMPRODUCT($E17:$E$26*J$17:J$26)</f>
        <v>0</v>
      </c>
      <c r="K16" s="934">
        <f>SUM(K17:K26)</f>
        <v>0</v>
      </c>
      <c r="L16" s="1108"/>
      <c r="M16" s="1231">
        <f>SUM(M17:M26)</f>
        <v>0</v>
      </c>
      <c r="N16" s="1202">
        <f>SUMPRODUCT($M17:$M$26*N$17:N$26)</f>
        <v>0</v>
      </c>
      <c r="O16" s="1202">
        <f>SUMPRODUCT($M17:$M$26*O$17:O$26)</f>
        <v>0</v>
      </c>
      <c r="P16" s="1131"/>
      <c r="Q16" s="1137" cm="1">
        <f t="array" ref="Q16">SUMPRODUCT($M17:$M$26*Q$17:Q$26)</f>
        <v>0</v>
      </c>
      <c r="R16" s="934">
        <f>SUM(R17:R26)</f>
        <v>0</v>
      </c>
      <c r="S16" s="1137">
        <f>SUM(S17:S26)</f>
        <v>0</v>
      </c>
      <c r="T16" s="1192">
        <f>SUM(T17:T26)</f>
        <v>0</v>
      </c>
      <c r="U16" s="352"/>
    </row>
    <row r="17" spans="1:21" s="354" customFormat="1" ht="18.75" customHeight="1" thickTop="1">
      <c r="A17" s="352"/>
      <c r="B17" s="930" t="s">
        <v>315</v>
      </c>
      <c r="C17" s="1144"/>
      <c r="D17" s="948"/>
      <c r="E17" s="1226"/>
      <c r="F17" s="1227">
        <f>IF(D17="",1,MIN(1.5,(2024-D17)*0.05+1))</f>
        <v>1</v>
      </c>
      <c r="G17" s="1226"/>
      <c r="H17" s="1226"/>
      <c r="I17" s="1242"/>
      <c r="J17" s="1234"/>
      <c r="K17" s="1193">
        <f>J17*E17*F17*'(参考)排出係数'!$F$3</f>
        <v>0</v>
      </c>
      <c r="L17" s="1144"/>
      <c r="M17" s="1226"/>
      <c r="N17" s="1226"/>
      <c r="O17" s="1226"/>
      <c r="P17" s="1242"/>
      <c r="Q17" s="1242"/>
      <c r="R17" s="1193">
        <f>Q17*M17*'(参考)排出係数'!$F$3</f>
        <v>0</v>
      </c>
      <c r="S17" s="1243">
        <f>J17*E17*F17-Q17*M17</f>
        <v>0</v>
      </c>
      <c r="T17" s="1193">
        <f t="shared" ref="T17:T26" si="1">K17-R17</f>
        <v>0</v>
      </c>
      <c r="U17" s="352"/>
    </row>
    <row r="18" spans="1:21" s="354" customFormat="1" ht="18.75" customHeight="1">
      <c r="A18" s="352"/>
      <c r="B18" s="371" t="s">
        <v>316</v>
      </c>
      <c r="C18" s="1145"/>
      <c r="D18" s="1041"/>
      <c r="E18" s="1228"/>
      <c r="F18" s="1229">
        <f>IF(D18="",1,MIN(1.5,(2024-D18)*0.05+1))</f>
        <v>1</v>
      </c>
      <c r="G18" s="1228"/>
      <c r="H18" s="1228"/>
      <c r="I18" s="1244"/>
      <c r="J18" s="1235"/>
      <c r="K18" s="1194">
        <f>J18*E18*F18*'(参考)排出係数'!$F$3</f>
        <v>0</v>
      </c>
      <c r="L18" s="1145"/>
      <c r="M18" s="1228"/>
      <c r="N18" s="1228"/>
      <c r="O18" s="1228"/>
      <c r="P18" s="1244"/>
      <c r="Q18" s="1244"/>
      <c r="R18" s="1194">
        <f>Q18*M18*'(参考)排出係数'!$F$3</f>
        <v>0</v>
      </c>
      <c r="S18" s="1245">
        <f t="shared" ref="S18:S26" si="2">J18*E18*F18-Q18*M18</f>
        <v>0</v>
      </c>
      <c r="T18" s="1194">
        <f t="shared" si="1"/>
        <v>0</v>
      </c>
      <c r="U18" s="352"/>
    </row>
    <row r="19" spans="1:21" s="354" customFormat="1" ht="18.75" customHeight="1">
      <c r="A19" s="352"/>
      <c r="B19" s="371" t="s">
        <v>317</v>
      </c>
      <c r="C19" s="1145"/>
      <c r="D19" s="1041"/>
      <c r="E19" s="1228"/>
      <c r="F19" s="1229">
        <f t="shared" ref="F19:F26" si="3">IF(D19="",1,MIN(1.5,(2024-D19)*0.05+1))</f>
        <v>1</v>
      </c>
      <c r="G19" s="1228"/>
      <c r="H19" s="1228"/>
      <c r="I19" s="1244"/>
      <c r="J19" s="1235"/>
      <c r="K19" s="1194">
        <f>J19*E19*F19*'(参考)排出係数'!$F$3</f>
        <v>0</v>
      </c>
      <c r="L19" s="1145"/>
      <c r="M19" s="1228"/>
      <c r="N19" s="1228"/>
      <c r="O19" s="1228"/>
      <c r="P19" s="1244"/>
      <c r="Q19" s="1244"/>
      <c r="R19" s="1194">
        <f>Q19*M19*'(参考)排出係数'!$F$3</f>
        <v>0</v>
      </c>
      <c r="S19" s="1245">
        <f t="shared" si="2"/>
        <v>0</v>
      </c>
      <c r="T19" s="1194">
        <f t="shared" si="1"/>
        <v>0</v>
      </c>
      <c r="U19" s="352"/>
    </row>
    <row r="20" spans="1:21" s="354" customFormat="1" ht="18.75" customHeight="1">
      <c r="A20" s="352"/>
      <c r="B20" s="371" t="s">
        <v>318</v>
      </c>
      <c r="C20" s="1145"/>
      <c r="D20" s="1041"/>
      <c r="E20" s="1228"/>
      <c r="F20" s="1229">
        <f t="shared" si="3"/>
        <v>1</v>
      </c>
      <c r="G20" s="1228"/>
      <c r="H20" s="1228"/>
      <c r="I20" s="1244"/>
      <c r="J20" s="1235"/>
      <c r="K20" s="1194">
        <f>J20*E20*F20*'(参考)排出係数'!$F$3</f>
        <v>0</v>
      </c>
      <c r="L20" s="1145"/>
      <c r="M20" s="1228"/>
      <c r="N20" s="1228"/>
      <c r="O20" s="1228"/>
      <c r="P20" s="1244"/>
      <c r="Q20" s="1244"/>
      <c r="R20" s="1194">
        <f>Q20*M20*'(参考)排出係数'!$F$3</f>
        <v>0</v>
      </c>
      <c r="S20" s="1245">
        <f t="shared" si="2"/>
        <v>0</v>
      </c>
      <c r="T20" s="1194">
        <f t="shared" si="1"/>
        <v>0</v>
      </c>
      <c r="U20" s="352"/>
    </row>
    <row r="21" spans="1:21" s="354" customFormat="1" ht="18.75" customHeight="1">
      <c r="A21" s="352"/>
      <c r="B21" s="371" t="s">
        <v>319</v>
      </c>
      <c r="C21" s="1145"/>
      <c r="D21" s="1041"/>
      <c r="E21" s="1228"/>
      <c r="F21" s="1229">
        <f t="shared" si="3"/>
        <v>1</v>
      </c>
      <c r="G21" s="1228"/>
      <c r="H21" s="1228"/>
      <c r="I21" s="1244"/>
      <c r="J21" s="1235"/>
      <c r="K21" s="1194">
        <f>J21*E21*F21*'(参考)排出係数'!$F$3</f>
        <v>0</v>
      </c>
      <c r="L21" s="1145"/>
      <c r="M21" s="1228"/>
      <c r="N21" s="1228"/>
      <c r="O21" s="1228"/>
      <c r="P21" s="1244"/>
      <c r="Q21" s="1244"/>
      <c r="R21" s="1194">
        <f>Q21*M21*'(参考)排出係数'!$F$3</f>
        <v>0</v>
      </c>
      <c r="S21" s="1245">
        <f t="shared" si="2"/>
        <v>0</v>
      </c>
      <c r="T21" s="1194">
        <f t="shared" si="1"/>
        <v>0</v>
      </c>
      <c r="U21" s="352"/>
    </row>
    <row r="22" spans="1:21" s="354" customFormat="1" ht="18.75" customHeight="1">
      <c r="A22" s="352"/>
      <c r="B22" s="371" t="s">
        <v>320</v>
      </c>
      <c r="C22" s="1145"/>
      <c r="D22" s="1041"/>
      <c r="E22" s="1228"/>
      <c r="F22" s="1229">
        <f t="shared" si="3"/>
        <v>1</v>
      </c>
      <c r="G22" s="1228"/>
      <c r="H22" s="1228"/>
      <c r="I22" s="1244"/>
      <c r="J22" s="1235"/>
      <c r="K22" s="1194">
        <f>J22*E22*F22*'(参考)排出係数'!$F$3</f>
        <v>0</v>
      </c>
      <c r="L22" s="1145"/>
      <c r="M22" s="1228"/>
      <c r="N22" s="1228"/>
      <c r="O22" s="1228"/>
      <c r="P22" s="1244"/>
      <c r="Q22" s="1244"/>
      <c r="R22" s="1194">
        <f>Q22*M22*'(参考)排出係数'!$F$3</f>
        <v>0</v>
      </c>
      <c r="S22" s="1245">
        <f t="shared" si="2"/>
        <v>0</v>
      </c>
      <c r="T22" s="1194">
        <f t="shared" si="1"/>
        <v>0</v>
      </c>
      <c r="U22" s="352"/>
    </row>
    <row r="23" spans="1:21" s="354" customFormat="1" ht="18.75" customHeight="1">
      <c r="A23" s="352"/>
      <c r="B23" s="371" t="s">
        <v>321</v>
      </c>
      <c r="C23" s="1145"/>
      <c r="D23" s="1041"/>
      <c r="E23" s="1228"/>
      <c r="F23" s="1229">
        <f t="shared" si="3"/>
        <v>1</v>
      </c>
      <c r="G23" s="1228"/>
      <c r="H23" s="1228"/>
      <c r="I23" s="1244"/>
      <c r="J23" s="1235"/>
      <c r="K23" s="1194">
        <f>J23*E23*F23*'(参考)排出係数'!$F$3</f>
        <v>0</v>
      </c>
      <c r="L23" s="1145"/>
      <c r="M23" s="1228"/>
      <c r="N23" s="1228"/>
      <c r="O23" s="1228"/>
      <c r="P23" s="1244"/>
      <c r="Q23" s="1244"/>
      <c r="R23" s="1194">
        <f>Q23*M23*'(参考)排出係数'!$F$3</f>
        <v>0</v>
      </c>
      <c r="S23" s="1245">
        <f t="shared" si="2"/>
        <v>0</v>
      </c>
      <c r="T23" s="1194">
        <f t="shared" si="1"/>
        <v>0</v>
      </c>
      <c r="U23" s="352"/>
    </row>
    <row r="24" spans="1:21" s="354" customFormat="1" ht="18.75" customHeight="1">
      <c r="A24" s="352"/>
      <c r="B24" s="371" t="s">
        <v>322</v>
      </c>
      <c r="C24" s="1145"/>
      <c r="D24" s="1041"/>
      <c r="E24" s="1228"/>
      <c r="F24" s="1229">
        <f t="shared" si="3"/>
        <v>1</v>
      </c>
      <c r="G24" s="1228"/>
      <c r="H24" s="1228"/>
      <c r="I24" s="1244"/>
      <c r="J24" s="1235"/>
      <c r="K24" s="1194">
        <f>J24*E24*F24*'(参考)排出係数'!$F$3</f>
        <v>0</v>
      </c>
      <c r="L24" s="1145"/>
      <c r="M24" s="1228"/>
      <c r="N24" s="1228"/>
      <c r="O24" s="1228"/>
      <c r="P24" s="1244"/>
      <c r="Q24" s="1244"/>
      <c r="R24" s="1194">
        <f>Q24*M24*'(参考)排出係数'!$F$3</f>
        <v>0</v>
      </c>
      <c r="S24" s="1245">
        <f t="shared" si="2"/>
        <v>0</v>
      </c>
      <c r="T24" s="1194">
        <f t="shared" si="1"/>
        <v>0</v>
      </c>
      <c r="U24" s="352"/>
    </row>
    <row r="25" spans="1:21" s="354" customFormat="1" ht="18.75" customHeight="1">
      <c r="A25" s="352"/>
      <c r="B25" s="371" t="s">
        <v>323</v>
      </c>
      <c r="C25" s="1145"/>
      <c r="D25" s="1041"/>
      <c r="E25" s="1228"/>
      <c r="F25" s="1229">
        <f t="shared" si="3"/>
        <v>1</v>
      </c>
      <c r="G25" s="1228"/>
      <c r="H25" s="1228"/>
      <c r="I25" s="1244"/>
      <c r="J25" s="1235"/>
      <c r="K25" s="1194">
        <f>J25*E25*F25*'(参考)排出係数'!$F$3</f>
        <v>0</v>
      </c>
      <c r="L25" s="1145"/>
      <c r="M25" s="1228"/>
      <c r="N25" s="1228"/>
      <c r="O25" s="1228"/>
      <c r="P25" s="1244"/>
      <c r="Q25" s="1244"/>
      <c r="R25" s="1194">
        <f>Q25*M25*'(参考)排出係数'!$F$3</f>
        <v>0</v>
      </c>
      <c r="S25" s="1245">
        <f t="shared" si="2"/>
        <v>0</v>
      </c>
      <c r="T25" s="1194">
        <f t="shared" si="1"/>
        <v>0</v>
      </c>
      <c r="U25" s="352"/>
    </row>
    <row r="26" spans="1:21" s="354" customFormat="1" ht="18.75" customHeight="1">
      <c r="A26" s="352"/>
      <c r="B26" s="371" t="s">
        <v>324</v>
      </c>
      <c r="C26" s="1145"/>
      <c r="D26" s="1041"/>
      <c r="E26" s="1228"/>
      <c r="F26" s="1229">
        <f t="shared" si="3"/>
        <v>1</v>
      </c>
      <c r="G26" s="1228"/>
      <c r="H26" s="1228"/>
      <c r="I26" s="1244"/>
      <c r="J26" s="1235"/>
      <c r="K26" s="1194">
        <f>J26*E26*F26*'(参考)排出係数'!$F$3</f>
        <v>0</v>
      </c>
      <c r="L26" s="1145"/>
      <c r="M26" s="1228"/>
      <c r="N26" s="1228"/>
      <c r="O26" s="1228"/>
      <c r="P26" s="1244"/>
      <c r="Q26" s="1244"/>
      <c r="R26" s="1194">
        <f>Q26*M26*'(参考)排出係数'!$F$3</f>
        <v>0</v>
      </c>
      <c r="S26" s="1245">
        <f t="shared" si="2"/>
        <v>0</v>
      </c>
      <c r="T26" s="1194">
        <f t="shared" si="1"/>
        <v>0</v>
      </c>
      <c r="U26" s="352"/>
    </row>
    <row r="27" spans="1:21" s="380" customFormat="1" ht="18.75" customHeight="1">
      <c r="A27" s="379"/>
      <c r="B27" s="388"/>
      <c r="C27" s="389"/>
      <c r="D27" s="390"/>
      <c r="E27" s="388"/>
      <c r="F27" s="391"/>
      <c r="G27" s="391"/>
      <c r="H27" s="392"/>
      <c r="I27" s="392"/>
      <c r="J27" s="393"/>
      <c r="K27" s="389"/>
      <c r="L27" s="388"/>
      <c r="M27" s="388"/>
      <c r="N27" s="394"/>
      <c r="O27" s="395"/>
      <c r="P27" s="393"/>
      <c r="Q27" s="396"/>
      <c r="R27" s="397"/>
      <c r="S27" s="379"/>
      <c r="T27" s="379"/>
      <c r="U27" s="379"/>
    </row>
    <row r="28" spans="1:21" ht="18.75" customHeight="1"/>
  </sheetData>
  <protectedRanges>
    <protectedRange sqref="L4:T4 C17:E26 G17:J26 L17:Q26" name="範囲1"/>
  </protectedRanges>
  <mergeCells count="2">
    <mergeCell ref="B12:B13"/>
    <mergeCell ref="O7:T8"/>
  </mergeCells>
  <phoneticPr fontId="2"/>
  <conditionalFormatting sqref="D16:D26 F16:F26">
    <cfRule type="expression" dxfId="38" priority="1">
      <formula>$F$1="なし"</formula>
    </cfRule>
  </conditionalFormatting>
  <conditionalFormatting sqref="F7:G7">
    <cfRule type="expression" dxfId="37" priority="3">
      <formula>$G$1="なし"</formula>
    </cfRule>
  </conditionalFormatting>
  <pageMargins left="0.7" right="0.7" top="0.75" bottom="0.75" header="0.3" footer="0.3"/>
  <pageSetup paperSize="8" scale="85" orientation="landscape" r:id="rId1"/>
  <ignoredErrors>
    <ignoredError sqref="H6:H7"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070D-7E6F-423A-8FBD-553334B1C993}">
  <sheetPr>
    <pageSetUpPr fitToPage="1"/>
  </sheetPr>
  <dimension ref="A1:AB39"/>
  <sheetViews>
    <sheetView zoomScaleNormal="100" workbookViewId="0">
      <pane ySplit="1" topLeftCell="A2" activePane="bottomLeft" state="frozen"/>
      <selection pane="bottomLeft" activeCell="A2" sqref="A2"/>
    </sheetView>
  </sheetViews>
  <sheetFormatPr defaultColWidth="10.58203125" defaultRowHeight="13"/>
  <cols>
    <col min="1" max="1" width="3.58203125" style="4" customWidth="1"/>
    <col min="2" max="2" width="7.58203125" style="4" customWidth="1"/>
    <col min="3" max="3" width="11.58203125" style="4" customWidth="1"/>
    <col min="4" max="4" width="12.58203125" style="4" customWidth="1"/>
    <col min="5" max="6" width="10.58203125" style="4" customWidth="1"/>
    <col min="7" max="8" width="10.58203125" style="4"/>
    <col min="9" max="10" width="10.58203125" style="4" customWidth="1"/>
    <col min="11" max="15" width="10.5" style="4" customWidth="1"/>
    <col min="16" max="16" width="7" style="4" customWidth="1"/>
    <col min="17" max="17" width="10.5" style="4" customWidth="1"/>
    <col min="18" max="18" width="24.08203125" style="4" customWidth="1"/>
    <col min="19" max="20" width="10.5" style="4" customWidth="1"/>
    <col min="21" max="21" width="53.5" style="4" customWidth="1"/>
    <col min="22" max="27" width="10.5" style="4" customWidth="1"/>
    <col min="28" max="28" width="5.58203125" style="4" customWidth="1"/>
    <col min="29" max="29" width="11.75" style="4" bestFit="1" customWidth="1"/>
    <col min="30" max="30" width="10.58203125" style="4"/>
    <col min="31" max="31" width="10.58203125" style="4" customWidth="1"/>
    <col min="32" max="32" width="10.58203125" style="4"/>
    <col min="33" max="33" width="5.58203125" style="4" customWidth="1"/>
    <col min="34" max="34" width="10.58203125" style="4"/>
    <col min="35" max="35" width="21.08203125" style="4" customWidth="1"/>
    <col min="36" max="37" width="8.58203125" style="4" customWidth="1"/>
    <col min="38" max="38" width="44.25" style="4" bestFit="1" customWidth="1"/>
    <col min="39" max="16384" width="10.58203125" style="4"/>
  </cols>
  <sheetData>
    <row r="1" spans="1:26" ht="30" customHeight="1">
      <c r="A1" s="163" t="s">
        <v>841</v>
      </c>
    </row>
    <row r="2" spans="1:26" s="33" customFormat="1" ht="18.75" customHeight="1" thickBot="1">
      <c r="Q2" s="447" t="s">
        <v>1121</v>
      </c>
    </row>
    <row r="3" spans="1:26" s="33" customFormat="1" ht="18.75" customHeight="1">
      <c r="C3" s="115" t="s">
        <v>197</v>
      </c>
      <c r="D3" s="116"/>
      <c r="E3" s="117" t="s">
        <v>198</v>
      </c>
      <c r="F3" s="117" t="s">
        <v>611</v>
      </c>
      <c r="G3" s="117" t="s">
        <v>1080</v>
      </c>
      <c r="I3" s="556" t="s">
        <v>534</v>
      </c>
      <c r="J3" s="311">
        <v>0.8</v>
      </c>
      <c r="L3" s="1722" t="s">
        <v>547</v>
      </c>
      <c r="M3" s="1722"/>
      <c r="N3" s="1722"/>
      <c r="O3" s="90" t="s">
        <v>546</v>
      </c>
      <c r="Q3" s="757" t="s">
        <v>561</v>
      </c>
      <c r="R3" s="758" t="s">
        <v>566</v>
      </c>
      <c r="S3" s="759" t="s">
        <v>560</v>
      </c>
      <c r="T3" s="517" t="s">
        <v>559</v>
      </c>
    </row>
    <row r="4" spans="1:26" s="33" customFormat="1" ht="18.75" customHeight="1">
      <c r="C4" s="118" t="s">
        <v>1078</v>
      </c>
      <c r="D4" s="119"/>
      <c r="E4" s="117" t="s">
        <v>204</v>
      </c>
      <c r="F4" s="897">
        <f>-N9</f>
        <v>0</v>
      </c>
      <c r="G4" s="897">
        <f>-F4</f>
        <v>0</v>
      </c>
      <c r="I4" s="33" t="s">
        <v>845</v>
      </c>
      <c r="L4" s="1703" t="s">
        <v>540</v>
      </c>
      <c r="M4" s="1704"/>
      <c r="N4" s="610">
        <f>【共通】事業所の光熱費!$D$6</f>
        <v>0</v>
      </c>
      <c r="O4" s="495" t="s">
        <v>123</v>
      </c>
      <c r="Q4" s="1856" t="s">
        <v>563</v>
      </c>
      <c r="R4" s="760" t="s">
        <v>1083</v>
      </c>
      <c r="S4" s="762">
        <v>15</v>
      </c>
      <c r="T4" s="518" t="s">
        <v>90</v>
      </c>
    </row>
    <row r="5" spans="1:26" s="33" customFormat="1" ht="18.75" customHeight="1">
      <c r="C5" s="118" t="s">
        <v>205</v>
      </c>
      <c r="D5" s="119"/>
      <c r="E5" s="120" t="s">
        <v>374</v>
      </c>
      <c r="F5" s="897">
        <f>F4*'(参考)排出係数'!$F$3</f>
        <v>0</v>
      </c>
      <c r="G5" s="897">
        <f>-F5</f>
        <v>0</v>
      </c>
      <c r="I5" s="1821" t="s">
        <v>846</v>
      </c>
      <c r="J5" s="1822"/>
      <c r="L5" s="1712" t="s">
        <v>1093</v>
      </c>
      <c r="M5" s="1713"/>
      <c r="N5" s="289">
        <f>$J$16*12</f>
        <v>0</v>
      </c>
      <c r="O5" s="90" t="s">
        <v>123</v>
      </c>
      <c r="Q5" s="1856"/>
      <c r="R5" s="760" t="s">
        <v>557</v>
      </c>
      <c r="S5" s="762">
        <v>11.5</v>
      </c>
      <c r="T5" s="518" t="s">
        <v>564</v>
      </c>
    </row>
    <row r="6" spans="1:26" s="33" customFormat="1" ht="18.75" customHeight="1">
      <c r="C6" s="118" t="s">
        <v>1088</v>
      </c>
      <c r="D6" s="119"/>
      <c r="E6" s="117" t="s">
        <v>208</v>
      </c>
      <c r="F6" s="746">
        <f>F4*【共通】事業所の光熱費!$H$6</f>
        <v>0</v>
      </c>
      <c r="G6" s="746">
        <f>-F6</f>
        <v>0</v>
      </c>
      <c r="I6" s="286">
        <v>3.55</v>
      </c>
      <c r="J6" s="90" t="s">
        <v>531</v>
      </c>
      <c r="L6" s="1703" t="s">
        <v>1091</v>
      </c>
      <c r="M6" s="1704"/>
      <c r="N6" s="610">
        <f>SUMIF($E$17:$E$21, "屋根", $J$17:$J$21)*12</f>
        <v>0</v>
      </c>
      <c r="O6" s="1031" t="s">
        <v>123</v>
      </c>
      <c r="Q6" s="1856"/>
      <c r="R6" s="760" t="s">
        <v>565</v>
      </c>
      <c r="S6" s="762">
        <v>11.5</v>
      </c>
      <c r="T6" s="518" t="s">
        <v>564</v>
      </c>
    </row>
    <row r="7" spans="1:26" s="33" customFormat="1" ht="18.75" customHeight="1">
      <c r="C7" s="173" t="s">
        <v>436</v>
      </c>
      <c r="D7" s="174"/>
      <c r="E7" s="117" t="s">
        <v>209</v>
      </c>
      <c r="F7" s="745">
        <f>F4*'(参考)排出係数'!$C$3*0.0000258</f>
        <v>0</v>
      </c>
      <c r="G7" s="745">
        <f>-F7</f>
        <v>0</v>
      </c>
      <c r="I7" s="287">
        <f>($I$6*365)/12</f>
        <v>107.97916666666667</v>
      </c>
      <c r="J7" s="90" t="s">
        <v>532</v>
      </c>
      <c r="L7" s="1703" t="s">
        <v>1092</v>
      </c>
      <c r="M7" s="1704"/>
      <c r="N7" s="610">
        <f>SUMIF($E$17:$E$21, "地上", $J$17:$J$21)*12</f>
        <v>0</v>
      </c>
      <c r="O7" s="1031" t="s">
        <v>123</v>
      </c>
      <c r="Q7" s="1857" t="s">
        <v>562</v>
      </c>
      <c r="R7" s="761" t="s">
        <v>557</v>
      </c>
      <c r="S7" s="763">
        <v>10</v>
      </c>
      <c r="T7" s="518" t="s">
        <v>564</v>
      </c>
    </row>
    <row r="8" spans="1:26" s="33" customFormat="1" ht="18.75" customHeight="1" thickBot="1">
      <c r="C8" s="33" t="s">
        <v>376</v>
      </c>
      <c r="I8" s="33" t="s">
        <v>1081</v>
      </c>
      <c r="J8" s="547"/>
      <c r="L8" s="1703" t="s">
        <v>799</v>
      </c>
      <c r="M8" s="1704"/>
      <c r="N8" s="560">
        <v>50</v>
      </c>
      <c r="O8" s="1031" t="s">
        <v>52</v>
      </c>
      <c r="Q8" s="1858"/>
      <c r="R8" s="520" t="s">
        <v>565</v>
      </c>
      <c r="S8" s="764">
        <v>8.9</v>
      </c>
      <c r="T8" s="537" t="s">
        <v>564</v>
      </c>
    </row>
    <row r="9" spans="1:26" s="33" customFormat="1" ht="18.75" customHeight="1">
      <c r="L9" s="1703" t="s">
        <v>1082</v>
      </c>
      <c r="M9" s="1704"/>
      <c r="N9" s="289">
        <f>N5*$N$8/100</f>
        <v>0</v>
      </c>
      <c r="O9" s="1031" t="s">
        <v>123</v>
      </c>
    </row>
    <row r="10" spans="1:26" s="33" customFormat="1" ht="18.75" customHeight="1" thickBot="1">
      <c r="C10" s="439" t="s">
        <v>43</v>
      </c>
      <c r="D10" s="440" t="s">
        <v>668</v>
      </c>
      <c r="E10" s="441" t="s">
        <v>723</v>
      </c>
      <c r="G10" s="599" t="s">
        <v>843</v>
      </c>
      <c r="L10" s="1696" t="s">
        <v>541</v>
      </c>
      <c r="M10" s="1696"/>
      <c r="N10" s="289">
        <f>N5-N9</f>
        <v>0</v>
      </c>
      <c r="O10" s="1031" t="s">
        <v>123</v>
      </c>
      <c r="Q10" s="447" t="s">
        <v>788</v>
      </c>
    </row>
    <row r="11" spans="1:26" s="33" customFormat="1" ht="18.75" customHeight="1">
      <c r="B11" s="1702" t="s">
        <v>197</v>
      </c>
      <c r="C11" s="291" t="s">
        <v>554</v>
      </c>
      <c r="D11" s="292"/>
      <c r="E11" s="292"/>
      <c r="F11" s="330"/>
      <c r="G11" s="330"/>
      <c r="H11" s="535"/>
      <c r="I11" s="292"/>
      <c r="J11" s="293"/>
      <c r="L11" s="1703" t="s">
        <v>1094</v>
      </c>
      <c r="M11" s="1704"/>
      <c r="N11" s="289">
        <f>IFERROR($N$10 * (SUMIF($E$17:$E$21, "屋根", $J$17:$J$21) / SUM($J$17:$J$21)), 0)</f>
        <v>0</v>
      </c>
      <c r="O11" s="1031" t="s">
        <v>123</v>
      </c>
      <c r="Q11" s="1867" t="s">
        <v>758</v>
      </c>
      <c r="R11" s="1868"/>
      <c r="S11" s="516" t="s">
        <v>740</v>
      </c>
      <c r="T11" s="516" t="s">
        <v>7</v>
      </c>
      <c r="U11" s="517" t="s">
        <v>751</v>
      </c>
      <c r="W11" s="352"/>
      <c r="X11" s="352"/>
      <c r="Y11" s="352"/>
      <c r="Z11" s="352"/>
    </row>
    <row r="12" spans="1:26" s="33" customFormat="1" ht="40" customHeight="1">
      <c r="B12" s="1702"/>
      <c r="C12" s="125" t="s">
        <v>842</v>
      </c>
      <c r="D12" s="125" t="s">
        <v>844</v>
      </c>
      <c r="E12" s="125" t="s">
        <v>515</v>
      </c>
      <c r="F12" s="45" t="s">
        <v>847</v>
      </c>
      <c r="G12" s="45" t="s">
        <v>786</v>
      </c>
      <c r="H12" s="45" t="s">
        <v>801</v>
      </c>
      <c r="I12" s="45" t="s">
        <v>1118</v>
      </c>
      <c r="J12" s="45" t="s">
        <v>533</v>
      </c>
      <c r="L12" s="1703" t="s">
        <v>1095</v>
      </c>
      <c r="M12" s="1704"/>
      <c r="N12" s="289">
        <f>IFERROR($N$10 * (SUMIF($E$17:$E$21, "地上", $J$17:$J$21) / SUM($J$17:$J$21)), 0)</f>
        <v>0</v>
      </c>
      <c r="O12" s="1031" t="s">
        <v>123</v>
      </c>
      <c r="Q12" s="1859" t="s">
        <v>739</v>
      </c>
      <c r="R12" s="1860"/>
      <c r="S12" s="754">
        <v>8</v>
      </c>
      <c r="T12" s="297" t="s">
        <v>90</v>
      </c>
      <c r="U12" s="518" t="s">
        <v>752</v>
      </c>
      <c r="W12" s="401"/>
      <c r="X12" s="401"/>
      <c r="Y12" s="401"/>
      <c r="Z12" s="401"/>
    </row>
    <row r="13" spans="1:26" s="33" customFormat="1" ht="18.75" customHeight="1">
      <c r="B13" s="290" t="s">
        <v>198</v>
      </c>
      <c r="C13" s="42" t="s">
        <v>45</v>
      </c>
      <c r="D13" s="42" t="s">
        <v>45</v>
      </c>
      <c r="E13" s="42" t="s">
        <v>45</v>
      </c>
      <c r="F13" s="42" t="s">
        <v>108</v>
      </c>
      <c r="G13" s="42" t="s">
        <v>108</v>
      </c>
      <c r="H13" s="42" t="s">
        <v>787</v>
      </c>
      <c r="I13" s="42" t="s">
        <v>108</v>
      </c>
      <c r="J13" s="42" t="s">
        <v>6</v>
      </c>
      <c r="L13" s="1703" t="s">
        <v>556</v>
      </c>
      <c r="M13" s="1704"/>
      <c r="N13" s="171">
        <f>I16</f>
        <v>0</v>
      </c>
      <c r="O13" s="1031" t="s">
        <v>108</v>
      </c>
      <c r="Q13" s="1859" t="s">
        <v>741</v>
      </c>
      <c r="R13" s="1860"/>
      <c r="S13" s="754">
        <v>8.5</v>
      </c>
      <c r="T13" s="297" t="s">
        <v>90</v>
      </c>
      <c r="U13" s="518" t="s">
        <v>752</v>
      </c>
      <c r="W13" s="108"/>
      <c r="X13" s="108"/>
      <c r="Y13" s="108"/>
      <c r="Z13" s="108"/>
    </row>
    <row r="14" spans="1:26" s="33" customFormat="1" ht="18.75" customHeight="1">
      <c r="B14" s="298" t="s">
        <v>519</v>
      </c>
      <c r="C14" s="1236" t="s">
        <v>136</v>
      </c>
      <c r="D14" s="1236" t="s">
        <v>137</v>
      </c>
      <c r="E14" s="1256" t="s">
        <v>548</v>
      </c>
      <c r="F14" s="1246">
        <v>50</v>
      </c>
      <c r="G14" s="1246">
        <v>40</v>
      </c>
      <c r="H14" s="1257">
        <f>IFERROR(F14/G14,"")</f>
        <v>1.25</v>
      </c>
      <c r="I14" s="1251">
        <f>IF(OR(F14="", G14=""), "", MIN(F14,G14))</f>
        <v>40</v>
      </c>
      <c r="J14" s="1251">
        <f>IFERROR(IF(I14="", "", I14*$I$7*$J$3), "")</f>
        <v>3455.3333333333339</v>
      </c>
      <c r="L14" s="1722" t="s">
        <v>544</v>
      </c>
      <c r="M14" s="1722"/>
      <c r="N14" s="440"/>
      <c r="O14" s="1031" t="s">
        <v>545</v>
      </c>
      <c r="Q14" s="1859" t="s">
        <v>742</v>
      </c>
      <c r="R14" s="1860"/>
      <c r="S14" s="754">
        <v>10</v>
      </c>
      <c r="T14" s="297" t="s">
        <v>90</v>
      </c>
      <c r="U14" s="518" t="s">
        <v>752</v>
      </c>
      <c r="W14" s="750"/>
      <c r="X14" s="750"/>
      <c r="Y14" s="750"/>
      <c r="Z14" s="750"/>
    </row>
    <row r="15" spans="1:26" s="33" customFormat="1" ht="18.75" customHeight="1" thickBot="1">
      <c r="B15" s="561" t="s">
        <v>520</v>
      </c>
      <c r="C15" s="1237" t="s">
        <v>326</v>
      </c>
      <c r="D15" s="1237" t="s">
        <v>345</v>
      </c>
      <c r="E15" s="1258" t="s">
        <v>549</v>
      </c>
      <c r="F15" s="1247">
        <v>90</v>
      </c>
      <c r="G15" s="1247">
        <v>80</v>
      </c>
      <c r="H15" s="1259">
        <f>IFERROR(F15/G15,"")</f>
        <v>1.125</v>
      </c>
      <c r="I15" s="1252">
        <f>IF(OR(F15="", G15=""), "", MIN(F15,G15))</f>
        <v>80</v>
      </c>
      <c r="J15" s="1252">
        <f>IFERROR(IF(I15="", "", I15*$I$7*$J$3), "")</f>
        <v>6910.6666666666679</v>
      </c>
      <c r="L15" s="1723" t="s">
        <v>870</v>
      </c>
      <c r="M15" s="168" t="s">
        <v>550</v>
      </c>
      <c r="N15" s="295">
        <f>IF(N14="不可", "", IF(N13&gt;=250, "", IF(N13&gt;=50, $S$6, IF(N13&gt;=10, $S$5, IF(N13&lt;10, $S$4, "")))))</f>
        <v>15</v>
      </c>
      <c r="O15" s="1031" t="s">
        <v>552</v>
      </c>
      <c r="Q15" s="1859" t="s">
        <v>746</v>
      </c>
      <c r="R15" s="1860"/>
      <c r="S15" s="754">
        <v>8</v>
      </c>
      <c r="T15" s="297" t="s">
        <v>90</v>
      </c>
      <c r="U15" s="518" t="s">
        <v>752</v>
      </c>
      <c r="W15" s="750"/>
      <c r="X15" s="750"/>
      <c r="Y15" s="750"/>
      <c r="Z15" s="750"/>
    </row>
    <row r="16" spans="1:26" s="33" customFormat="1" ht="18.75" customHeight="1" thickTop="1" thickBot="1">
      <c r="B16" s="943" t="s">
        <v>67</v>
      </c>
      <c r="C16" s="1260"/>
      <c r="D16" s="1260"/>
      <c r="E16" s="1260"/>
      <c r="F16" s="1248">
        <f>SUM(F17:F21)</f>
        <v>0</v>
      </c>
      <c r="G16" s="1248">
        <f>SUM(G17:G21)</f>
        <v>0</v>
      </c>
      <c r="H16" s="1261"/>
      <c r="I16" s="1248">
        <f>SUM(I17:I21)</f>
        <v>0</v>
      </c>
      <c r="J16" s="1253">
        <f>SUM(J17:J21)</f>
        <v>0</v>
      </c>
      <c r="L16" s="1724"/>
      <c r="M16" s="168" t="s">
        <v>551</v>
      </c>
      <c r="N16" s="295" t="str">
        <f>IF(N14="不可", "", IF(N13&gt;=250, "", IF(N13&gt;=50, $S$8, IF(N13&gt;=10, $S$7, ""))))</f>
        <v/>
      </c>
      <c r="O16" s="1031" t="s">
        <v>552</v>
      </c>
      <c r="Q16" s="1859" t="s">
        <v>743</v>
      </c>
      <c r="R16" s="1860"/>
      <c r="S16" s="754">
        <v>10</v>
      </c>
      <c r="T16" s="297" t="s">
        <v>90</v>
      </c>
      <c r="U16" s="518" t="s">
        <v>752</v>
      </c>
      <c r="W16" s="751"/>
      <c r="X16" s="751"/>
      <c r="Y16" s="751"/>
      <c r="Z16" s="751"/>
    </row>
    <row r="17" spans="1:28" s="33" customFormat="1" ht="18.649999999999999" customHeight="1" thickTop="1">
      <c r="B17" s="941" t="s">
        <v>535</v>
      </c>
      <c r="C17" s="1238"/>
      <c r="D17" s="1238"/>
      <c r="E17" s="1262"/>
      <c r="F17" s="1249"/>
      <c r="G17" s="1249"/>
      <c r="H17" s="1263" t="str">
        <f>IFERROR(F17/G17,"")</f>
        <v/>
      </c>
      <c r="I17" s="1254" t="str">
        <f>IF(OR(F17="", G17=""), "", MIN(F17,G17))</f>
        <v/>
      </c>
      <c r="J17" s="1254" t="str">
        <f>IFERROR(IF(I17="", "", I17*$I$7*$J$3), "")</f>
        <v/>
      </c>
      <c r="L17" s="1712" t="s">
        <v>542</v>
      </c>
      <c r="M17" s="1403" t="s">
        <v>1097</v>
      </c>
      <c r="N17" s="298" t="str">
        <f>IF($N$14="可", IF(SUMIF($E$17:$E$21, "屋根", $I$17:$I$21)&lt;10, $S$4*N11, IF(SUMIF($E$17:$E$21, "屋根", $I$17:$I$21)&lt;50, $S$5*N11, IF(SUMIF($E$17:$E$21, "屋根", $I$17:$I$21)&lt;250, $S$6*N11, ""))), "")</f>
        <v/>
      </c>
      <c r="O17" s="1031" t="s">
        <v>553</v>
      </c>
      <c r="Q17" s="1859" t="s">
        <v>750</v>
      </c>
      <c r="R17" s="1860"/>
      <c r="S17" s="754">
        <v>11</v>
      </c>
      <c r="T17" s="297" t="s">
        <v>90</v>
      </c>
      <c r="U17" s="518" t="s">
        <v>768</v>
      </c>
      <c r="W17" s="752"/>
      <c r="X17" s="752"/>
      <c r="Y17" s="752"/>
      <c r="Z17" s="752"/>
    </row>
    <row r="18" spans="1:28" s="33" customFormat="1" ht="18.649999999999999" customHeight="1">
      <c r="B18" s="297" t="s">
        <v>536</v>
      </c>
      <c r="C18" s="1239"/>
      <c r="D18" s="1239"/>
      <c r="E18" s="1264"/>
      <c r="F18" s="1250"/>
      <c r="G18" s="1250"/>
      <c r="H18" s="1265" t="str">
        <f>IFERROR(F18/G18,"")</f>
        <v/>
      </c>
      <c r="I18" s="1255" t="str">
        <f>IF(OR(F18="", G18=""), "", MIN(F18,G18))</f>
        <v/>
      </c>
      <c r="J18" s="1255" t="str">
        <f>IFERROR(IF(I18="", "", I18*$I$7*$J$3), "")</f>
        <v/>
      </c>
      <c r="L18" s="1720"/>
      <c r="M18" s="1403" t="s">
        <v>1096</v>
      </c>
      <c r="N18" s="298" t="str">
        <f>IF($N$14="可", IF(AND(SUMIF($E$17:$E$21, "地上", $I$17:$I$21)&gt;=10, SUMIF($E$17:$E$21, "地上", $I$17:$I$21)&lt;50), $S$7*N12, IF(AND(SUMIF($E$17:$E$21, "地上", $I$17:$I$21)&gt;=50, SUMIF($E$17:$E$21, "地上", $I$17:$I$21)&lt;250), $S$8*N12, "－")), "")</f>
        <v/>
      </c>
      <c r="O18" s="1031" t="s">
        <v>553</v>
      </c>
      <c r="P18" s="4"/>
      <c r="Q18" s="1859" t="s">
        <v>753</v>
      </c>
      <c r="R18" s="1860"/>
      <c r="S18" s="754">
        <v>9</v>
      </c>
      <c r="T18" s="297" t="s">
        <v>90</v>
      </c>
      <c r="U18" s="518" t="s">
        <v>754</v>
      </c>
      <c r="W18" s="753"/>
      <c r="X18" s="753"/>
      <c r="Y18" s="753"/>
      <c r="Z18" s="753"/>
    </row>
    <row r="19" spans="1:28" s="33" customFormat="1" ht="18.75" customHeight="1">
      <c r="B19" s="297" t="s">
        <v>537</v>
      </c>
      <c r="C19" s="1120"/>
      <c r="D19" s="1120"/>
      <c r="E19" s="1264"/>
      <c r="F19" s="1250"/>
      <c r="G19" s="1250"/>
      <c r="H19" s="1265" t="str">
        <f>IFERROR(F19/G19,"")</f>
        <v/>
      </c>
      <c r="I19" s="1255" t="str">
        <f>IF(OR(F19="", G19=""), "", MIN(F19,G19))</f>
        <v/>
      </c>
      <c r="J19" s="1255" t="str">
        <f>IFERROR(IF(I19="", "", I19*$I$7*$J$3), "")</f>
        <v/>
      </c>
      <c r="L19" s="1721"/>
      <c r="M19" s="1403" t="s">
        <v>1098</v>
      </c>
      <c r="N19" s="298" t="str">
        <f>IF($N$14="可", IF(AND(N13&gt;=10, N13&lt;50), $S$7*N10, IF(AND(N13&gt;=50, N13&lt;250), $S$8*N10, "－")), "")</f>
        <v/>
      </c>
      <c r="O19" s="1031" t="s">
        <v>88</v>
      </c>
      <c r="P19" s="4"/>
      <c r="Q19" s="1859" t="s">
        <v>744</v>
      </c>
      <c r="R19" s="1860"/>
      <c r="S19" s="754">
        <v>10</v>
      </c>
      <c r="T19" s="297" t="s">
        <v>90</v>
      </c>
      <c r="U19" s="518" t="s">
        <v>752</v>
      </c>
      <c r="W19" s="753"/>
      <c r="X19" s="753"/>
      <c r="Y19" s="753"/>
      <c r="Z19" s="753"/>
    </row>
    <row r="20" spans="1:28" s="33" customFormat="1" ht="18.75" customHeight="1">
      <c r="B20" s="297" t="s">
        <v>538</v>
      </c>
      <c r="C20" s="1120"/>
      <c r="D20" s="1120"/>
      <c r="E20" s="1264"/>
      <c r="F20" s="1250"/>
      <c r="G20" s="1250"/>
      <c r="H20" s="1265" t="str">
        <f>IFERROR(F20/G20,"")</f>
        <v/>
      </c>
      <c r="I20" s="1255" t="str">
        <f>IF(OR(F20="", G20=""), "", MIN(F20,G20))</f>
        <v/>
      </c>
      <c r="J20" s="1255" t="str">
        <f>IFERROR(IF(I20="", "", I20*$I$7*$J$3), "")</f>
        <v/>
      </c>
      <c r="L20" s="1703" t="s">
        <v>767</v>
      </c>
      <c r="M20" s="1704"/>
      <c r="N20" s="560">
        <v>10</v>
      </c>
      <c r="O20" s="90" t="s">
        <v>90</v>
      </c>
      <c r="P20" s="4"/>
      <c r="Q20" s="1859" t="s">
        <v>755</v>
      </c>
      <c r="R20" s="1860"/>
      <c r="S20" s="754">
        <v>11.5</v>
      </c>
      <c r="T20" s="297" t="s">
        <v>90</v>
      </c>
      <c r="U20" s="518" t="s">
        <v>756</v>
      </c>
      <c r="W20" s="753"/>
      <c r="X20" s="753"/>
      <c r="Y20" s="753"/>
      <c r="Z20" s="753"/>
    </row>
    <row r="21" spans="1:28" s="33" customFormat="1" ht="18.75" customHeight="1">
      <c r="B21" s="297" t="s">
        <v>539</v>
      </c>
      <c r="C21" s="1120"/>
      <c r="D21" s="1120"/>
      <c r="E21" s="1264"/>
      <c r="F21" s="1250"/>
      <c r="G21" s="1250"/>
      <c r="H21" s="1265" t="str">
        <f>IFERROR(F21/G21,"")</f>
        <v/>
      </c>
      <c r="I21" s="1255" t="str">
        <f>IF(OR(F21="", G21=""), "", MIN(F21,G21))</f>
        <v/>
      </c>
      <c r="J21" s="1255" t="str">
        <f>IFERROR(IF(I21="", "", I21*$I$7*$J$3), "")</f>
        <v/>
      </c>
      <c r="L21" s="1703" t="s">
        <v>1085</v>
      </c>
      <c r="M21" s="1704"/>
      <c r="N21" s="298">
        <f>IFERROR($N$10*$N$20, "")</f>
        <v>0</v>
      </c>
      <c r="O21" s="90" t="s">
        <v>42</v>
      </c>
      <c r="P21" s="4"/>
      <c r="Q21" s="1859" t="s">
        <v>745</v>
      </c>
      <c r="R21" s="1860"/>
      <c r="S21" s="754">
        <v>8.5</v>
      </c>
      <c r="T21" s="297" t="s">
        <v>90</v>
      </c>
      <c r="U21" s="518" t="s">
        <v>752</v>
      </c>
      <c r="W21" s="753"/>
      <c r="X21" s="753"/>
      <c r="Y21" s="753"/>
      <c r="Z21" s="753"/>
    </row>
    <row r="22" spans="1:28" s="33" customFormat="1" ht="32.15" customHeight="1">
      <c r="L22" s="1716" t="s">
        <v>1087</v>
      </c>
      <c r="M22" s="1716"/>
      <c r="N22" s="1693" t="str" cm="1">
        <f t="array" ref="N22">IFERROR(_xlfn.IFS(N14="可",N9*【共通】事業所の光熱費!$H$6+SUM(N19),N14="不可",N9*【共通】事業所の光熱費!$H$6+N21),"")</f>
        <v/>
      </c>
      <c r="O22" s="1696" t="s">
        <v>553</v>
      </c>
      <c r="P22" s="4"/>
      <c r="Q22" s="1859" t="s">
        <v>747</v>
      </c>
      <c r="R22" s="1860"/>
      <c r="S22" s="754">
        <v>8.5</v>
      </c>
      <c r="T22" s="297" t="s">
        <v>90</v>
      </c>
      <c r="U22" s="518" t="s">
        <v>752</v>
      </c>
    </row>
    <row r="23" spans="1:28" s="33" customFormat="1" ht="24">
      <c r="L23" s="1717"/>
      <c r="M23" s="1717"/>
      <c r="N23" s="1694"/>
      <c r="O23" s="1697"/>
      <c r="P23" s="4"/>
      <c r="Q23" s="1859" t="s">
        <v>757</v>
      </c>
      <c r="R23" s="1860"/>
      <c r="S23" s="754">
        <v>11</v>
      </c>
      <c r="T23" s="297" t="s">
        <v>90</v>
      </c>
      <c r="U23" s="519" t="s">
        <v>759</v>
      </c>
      <c r="AA23" s="4"/>
    </row>
    <row r="24" spans="1:28" s="33" customFormat="1" ht="18.75" customHeight="1">
      <c r="L24" s="1718"/>
      <c r="M24" s="1718"/>
      <c r="N24" s="1695"/>
      <c r="O24" s="1698"/>
      <c r="P24" s="4"/>
      <c r="Q24" s="1859" t="s">
        <v>760</v>
      </c>
      <c r="R24" s="1860"/>
      <c r="S24" s="754">
        <v>9.5</v>
      </c>
      <c r="T24" s="297" t="s">
        <v>90</v>
      </c>
      <c r="U24" s="519" t="s">
        <v>761</v>
      </c>
      <c r="V24" s="4"/>
      <c r="AA24" s="4"/>
    </row>
    <row r="25" spans="1:28" ht="18.75" customHeight="1">
      <c r="A25" s="33"/>
      <c r="L25" s="1865"/>
      <c r="M25" s="1866"/>
      <c r="N25" s="1866"/>
      <c r="O25" s="1866"/>
      <c r="Q25" s="1859" t="s">
        <v>748</v>
      </c>
      <c r="R25" s="1860"/>
      <c r="S25" s="754">
        <v>8</v>
      </c>
      <c r="T25" s="297" t="s">
        <v>90</v>
      </c>
      <c r="U25" s="518" t="s">
        <v>752</v>
      </c>
      <c r="AB25" s="33"/>
    </row>
    <row r="26" spans="1:28" ht="18.75" customHeight="1">
      <c r="A26" s="33"/>
      <c r="Q26" s="1859" t="s">
        <v>762</v>
      </c>
      <c r="R26" s="1860"/>
      <c r="S26" s="754">
        <v>11</v>
      </c>
      <c r="T26" s="297" t="s">
        <v>90</v>
      </c>
      <c r="U26" s="518" t="s">
        <v>763</v>
      </c>
    </row>
    <row r="27" spans="1:28" ht="18.75" customHeight="1">
      <c r="A27" s="33"/>
      <c r="Q27" s="1859" t="s">
        <v>764</v>
      </c>
      <c r="R27" s="1860"/>
      <c r="S27" s="754">
        <v>11</v>
      </c>
      <c r="T27" s="297" t="s">
        <v>90</v>
      </c>
      <c r="U27" s="518" t="s">
        <v>765</v>
      </c>
    </row>
    <row r="28" spans="1:28" ht="18.75" customHeight="1">
      <c r="A28" s="33"/>
      <c r="Q28" s="1859" t="s">
        <v>749</v>
      </c>
      <c r="R28" s="1860"/>
      <c r="S28" s="754">
        <v>8</v>
      </c>
      <c r="T28" s="297" t="s">
        <v>90</v>
      </c>
      <c r="U28" s="518" t="s">
        <v>752</v>
      </c>
    </row>
    <row r="29" spans="1:28" ht="18.75" customHeight="1">
      <c r="A29" s="33"/>
      <c r="Q29" s="1863" t="s">
        <v>766</v>
      </c>
      <c r="R29" s="1864"/>
      <c r="S29" s="755">
        <v>9.5</v>
      </c>
      <c r="T29" s="558" t="s">
        <v>90</v>
      </c>
      <c r="U29" s="559" t="s">
        <v>761</v>
      </c>
    </row>
    <row r="30" spans="1:28" ht="18.75" customHeight="1" thickBot="1">
      <c r="A30" s="33"/>
      <c r="Q30" s="1861" t="s">
        <v>800</v>
      </c>
      <c r="R30" s="1862"/>
      <c r="S30" s="756"/>
      <c r="T30" s="520" t="s">
        <v>90</v>
      </c>
      <c r="U30" s="307"/>
    </row>
    <row r="31" spans="1:28" ht="18.75" customHeight="1">
      <c r="A31" s="33"/>
    </row>
    <row r="32" spans="1:28" ht="18.75" customHeight="1"/>
    <row r="33" ht="18.75" customHeight="1"/>
    <row r="34" ht="18.75" customHeight="1"/>
    <row r="35" ht="18.75" customHeight="1"/>
    <row r="36" ht="18.75" customHeight="1"/>
    <row r="37" ht="18.75" customHeight="1"/>
    <row r="38" ht="18.75" customHeight="1"/>
    <row r="39" ht="18.75" customHeight="1"/>
  </sheetData>
  <protectedRanges>
    <protectedRange sqref="J3 C17:G21 N8 N14 N20 S4:S8 Q10 S12:S30" name="範囲1"/>
  </protectedRanges>
  <mergeCells count="44">
    <mergeCell ref="Q30:R30"/>
    <mergeCell ref="I5:J5"/>
    <mergeCell ref="Q28:R28"/>
    <mergeCell ref="Q29:R29"/>
    <mergeCell ref="Q23:R23"/>
    <mergeCell ref="Q24:R24"/>
    <mergeCell ref="Q26:R26"/>
    <mergeCell ref="Q27:R27"/>
    <mergeCell ref="Q25:R25"/>
    <mergeCell ref="L25:O25"/>
    <mergeCell ref="Q11:R11"/>
    <mergeCell ref="Q12:R12"/>
    <mergeCell ref="Q13:R13"/>
    <mergeCell ref="Q21:R21"/>
    <mergeCell ref="Q14:R14"/>
    <mergeCell ref="L22:M24"/>
    <mergeCell ref="N22:N24"/>
    <mergeCell ref="O22:O24"/>
    <mergeCell ref="L3:N3"/>
    <mergeCell ref="L8:M8"/>
    <mergeCell ref="L21:M21"/>
    <mergeCell ref="L10:M10"/>
    <mergeCell ref="L4:M4"/>
    <mergeCell ref="L5:M5"/>
    <mergeCell ref="L20:M20"/>
    <mergeCell ref="L17:L19"/>
    <mergeCell ref="L15:L16"/>
    <mergeCell ref="L6:M6"/>
    <mergeCell ref="L7:M7"/>
    <mergeCell ref="L11:M11"/>
    <mergeCell ref="L12:M12"/>
    <mergeCell ref="Q22:R22"/>
    <mergeCell ref="Q19:R19"/>
    <mergeCell ref="Q17:R17"/>
    <mergeCell ref="Q15:R15"/>
    <mergeCell ref="Q16:R16"/>
    <mergeCell ref="Q18:R18"/>
    <mergeCell ref="Q20:R20"/>
    <mergeCell ref="Q4:Q6"/>
    <mergeCell ref="B11:B12"/>
    <mergeCell ref="L14:M14"/>
    <mergeCell ref="L13:M13"/>
    <mergeCell ref="L9:M9"/>
    <mergeCell ref="Q7:Q8"/>
  </mergeCells>
  <phoneticPr fontId="2"/>
  <conditionalFormatting sqref="F7:G7">
    <cfRule type="expression" dxfId="36" priority="6">
      <formula>$G$1="なし"</formula>
    </cfRule>
  </conditionalFormatting>
  <conditionalFormatting sqref="N14">
    <cfRule type="cellIs" dxfId="35" priority="1" operator="equal">
      <formula>"可"</formula>
    </cfRule>
    <cfRule type="expression" dxfId="34" priority="2">
      <formula>"可"</formula>
    </cfRule>
    <cfRule type="containsText" dxfId="33" priority="11" operator="containsText" text="不可">
      <formula>NOT(ISERROR(SEARCH("不可",N14)))</formula>
    </cfRule>
  </conditionalFormatting>
  <conditionalFormatting sqref="N14:N19">
    <cfRule type="expression" dxfId="32" priority="8">
      <formula>$N$4&gt;$N$9</formula>
    </cfRule>
  </conditionalFormatting>
  <conditionalFormatting sqref="N15:N19">
    <cfRule type="expression" dxfId="31" priority="9">
      <formula>$N$14="不可"</formula>
    </cfRule>
  </conditionalFormatting>
  <conditionalFormatting sqref="N20">
    <cfRule type="expression" dxfId="30" priority="4">
      <formula>$N$14="不可"</formula>
    </cfRule>
    <cfRule type="expression" dxfId="29" priority="5">
      <formula>$N$14="可"</formula>
    </cfRule>
  </conditionalFormatting>
  <conditionalFormatting sqref="N20:N21">
    <cfRule type="expression" dxfId="28" priority="3">
      <formula>$N$4&gt;$N$9</formula>
    </cfRule>
  </conditionalFormatting>
  <dataValidations count="2">
    <dataValidation type="list" allowBlank="1" showInputMessage="1" showErrorMessage="1" sqref="N14" xr:uid="{7E106142-EF0C-4882-B149-4754C31AF7B8}">
      <formula1>"可,不可"</formula1>
    </dataValidation>
    <dataValidation type="list" allowBlank="1" showInputMessage="1" showErrorMessage="1" sqref="E14:E21" xr:uid="{723B6D29-7A1B-44F8-B2C2-19D3CE3992C0}">
      <formula1>"屋根,地上"</formula1>
    </dataValidation>
  </dataValidations>
  <pageMargins left="0.7" right="0.7" top="0.75" bottom="0.75" header="0.3" footer="0.3"/>
  <pageSetup paperSize="8" scale="66"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DEED7-E031-4366-91FC-D0CEF6F0BB2D}">
  <sheetPr>
    <pageSetUpPr fitToPage="1"/>
  </sheetPr>
  <dimension ref="A1:U38"/>
  <sheetViews>
    <sheetView zoomScaleNormal="100" workbookViewId="0">
      <pane ySplit="1" topLeftCell="A2" activePane="bottomLeft" state="frozen"/>
      <selection activeCell="B1" sqref="B1"/>
      <selection pane="bottomLeft" activeCell="A2" sqref="A2"/>
    </sheetView>
  </sheetViews>
  <sheetFormatPr defaultColWidth="10.58203125" defaultRowHeight="13"/>
  <cols>
    <col min="1" max="1" width="3.58203125" style="4" customWidth="1"/>
    <col min="2" max="2" width="7.58203125" style="4" customWidth="1"/>
    <col min="3" max="3" width="11.58203125" style="4" customWidth="1"/>
    <col min="4" max="5" width="12.58203125" style="4" customWidth="1"/>
    <col min="6" max="10" width="10.58203125" style="4" customWidth="1"/>
    <col min="11" max="12" width="10.58203125" style="4"/>
    <col min="13" max="13" width="16" style="4" customWidth="1"/>
    <col min="14" max="14" width="11.75" style="4" bestFit="1" customWidth="1"/>
    <col min="15" max="15" width="10.83203125" style="4" customWidth="1"/>
    <col min="16" max="16" width="5.08203125" style="4" customWidth="1"/>
    <col min="17" max="17" width="10.58203125" style="4"/>
    <col min="18" max="18" width="25.08203125" style="4" customWidth="1"/>
    <col min="19" max="19" width="8.33203125" style="4" customWidth="1"/>
    <col min="20" max="20" width="9.5" style="4" customWidth="1"/>
    <col min="21" max="21" width="91.33203125" style="4" bestFit="1" customWidth="1"/>
    <col min="22" max="22" width="8.58203125" style="4" customWidth="1"/>
    <col min="23" max="16384" width="10.58203125" style="4"/>
  </cols>
  <sheetData>
    <row r="1" spans="1:21" ht="30" customHeight="1">
      <c r="A1" s="163" t="s">
        <v>1084</v>
      </c>
    </row>
    <row r="2" spans="1:21" s="33" customFormat="1" ht="18.75" customHeight="1"/>
    <row r="3" spans="1:21" s="33" customFormat="1" ht="18.75" customHeight="1">
      <c r="C3" s="115" t="s">
        <v>197</v>
      </c>
      <c r="D3" s="116"/>
      <c r="E3" s="117" t="s">
        <v>198</v>
      </c>
      <c r="F3" s="117" t="s">
        <v>611</v>
      </c>
      <c r="G3" s="117" t="s">
        <v>201</v>
      </c>
      <c r="I3" s="555" t="s">
        <v>869</v>
      </c>
      <c r="J3" s="288">
        <v>0.7</v>
      </c>
      <c r="L3" s="1703" t="s">
        <v>15</v>
      </c>
      <c r="M3" s="1719"/>
      <c r="N3" s="1704"/>
      <c r="O3" s="90" t="s">
        <v>7</v>
      </c>
      <c r="Q3" s="33" t="s">
        <v>877</v>
      </c>
    </row>
    <row r="4" spans="1:21" s="33" customFormat="1" ht="18.75" customHeight="1">
      <c r="C4" s="118" t="s">
        <v>1078</v>
      </c>
      <c r="D4" s="119"/>
      <c r="E4" s="117" t="s">
        <v>204</v>
      </c>
      <c r="F4" s="897">
        <f>-N9</f>
        <v>0</v>
      </c>
      <c r="G4" s="897">
        <f>-F4</f>
        <v>0</v>
      </c>
      <c r="I4" s="555" t="s">
        <v>868</v>
      </c>
      <c r="J4" s="311">
        <v>0.8</v>
      </c>
      <c r="L4" s="1703" t="s">
        <v>540</v>
      </c>
      <c r="M4" s="1704"/>
      <c r="N4" s="610">
        <f>【共通】事業所の光熱費!$D$6</f>
        <v>0</v>
      </c>
      <c r="O4" s="495" t="s">
        <v>123</v>
      </c>
      <c r="Q4" s="294" t="s">
        <v>573</v>
      </c>
      <c r="R4" s="294" t="s">
        <v>575</v>
      </c>
      <c r="S4" s="294" t="s">
        <v>560</v>
      </c>
      <c r="T4" s="294" t="s">
        <v>7</v>
      </c>
    </row>
    <row r="5" spans="1:21" s="33" customFormat="1" ht="18.75" customHeight="1">
      <c r="C5" s="118" t="s">
        <v>205</v>
      </c>
      <c r="D5" s="119"/>
      <c r="E5" s="120" t="s">
        <v>374</v>
      </c>
      <c r="F5" s="897">
        <f>F4*'(参考)排出係数'!$F$3</f>
        <v>0</v>
      </c>
      <c r="G5" s="897">
        <f t="shared" ref="G5:G7" si="0">-F5</f>
        <v>0</v>
      </c>
      <c r="I5" s="33" t="s">
        <v>570</v>
      </c>
      <c r="L5" s="1712" t="s">
        <v>1093</v>
      </c>
      <c r="M5" s="1713"/>
      <c r="N5" s="289">
        <f>$J$15*12</f>
        <v>0</v>
      </c>
      <c r="O5" s="1031" t="s">
        <v>123</v>
      </c>
      <c r="Q5" s="296" t="s">
        <v>574</v>
      </c>
      <c r="R5" s="297" t="s">
        <v>576</v>
      </c>
      <c r="S5" s="300">
        <v>34</v>
      </c>
      <c r="T5" s="297" t="s">
        <v>90</v>
      </c>
    </row>
    <row r="6" spans="1:21" s="33" customFormat="1" ht="18.75" customHeight="1">
      <c r="C6" s="118" t="s">
        <v>1088</v>
      </c>
      <c r="D6" s="119"/>
      <c r="E6" s="117" t="s">
        <v>208</v>
      </c>
      <c r="F6" s="746">
        <f>F4*【共通】事業所の光熱費!$H$6</f>
        <v>0</v>
      </c>
      <c r="G6" s="746">
        <f t="shared" si="0"/>
        <v>0</v>
      </c>
      <c r="L6" s="1703" t="s">
        <v>1100</v>
      </c>
      <c r="M6" s="1704"/>
      <c r="N6" s="610">
        <f>SUMIF($E$16:$E$17, "新設", $J$16:$J$17)*12</f>
        <v>0</v>
      </c>
      <c r="O6" s="1032" t="s">
        <v>123</v>
      </c>
      <c r="Q6" s="315"/>
      <c r="R6" s="297" t="s">
        <v>579</v>
      </c>
      <c r="S6" s="300">
        <v>29</v>
      </c>
      <c r="T6" s="297" t="s">
        <v>90</v>
      </c>
    </row>
    <row r="7" spans="1:21" s="33" customFormat="1" ht="18.75" customHeight="1">
      <c r="C7" s="173" t="s">
        <v>436</v>
      </c>
      <c r="D7" s="174"/>
      <c r="E7" s="117" t="s">
        <v>209</v>
      </c>
      <c r="F7" s="749">
        <f>F4*'(参考)排出係数'!$C$3*0.0000258</f>
        <v>0</v>
      </c>
      <c r="G7" s="749">
        <f t="shared" si="0"/>
        <v>0</v>
      </c>
      <c r="L7" s="1821" t="s">
        <v>1101</v>
      </c>
      <c r="M7" s="1822"/>
      <c r="N7" s="610">
        <f>SUMIF($E$16:$E$17, "既設導水路活用型", $J$16:$J$17)*12</f>
        <v>0</v>
      </c>
      <c r="O7" s="1032" t="s">
        <v>123</v>
      </c>
      <c r="Q7" s="315"/>
      <c r="R7" s="297" t="s">
        <v>580</v>
      </c>
      <c r="S7" s="300">
        <v>23</v>
      </c>
      <c r="T7" s="297" t="s">
        <v>90</v>
      </c>
    </row>
    <row r="8" spans="1:21" s="33" customFormat="1" ht="18.75" customHeight="1">
      <c r="C8" s="33" t="s">
        <v>376</v>
      </c>
      <c r="L8" s="1703" t="s">
        <v>543</v>
      </c>
      <c r="M8" s="1704"/>
      <c r="N8" s="299">
        <v>50</v>
      </c>
      <c r="O8" s="1031" t="s">
        <v>52</v>
      </c>
      <c r="Q8" s="315"/>
      <c r="R8" s="297" t="s">
        <v>581</v>
      </c>
      <c r="S8" s="300">
        <v>16</v>
      </c>
      <c r="T8" s="297" t="s">
        <v>90</v>
      </c>
    </row>
    <row r="9" spans="1:21" s="33" customFormat="1" ht="18.75" customHeight="1">
      <c r="I9" s="4"/>
      <c r="L9" s="1703" t="s">
        <v>1086</v>
      </c>
      <c r="M9" s="1704"/>
      <c r="N9" s="289">
        <f>N5*$N$8/100</f>
        <v>0</v>
      </c>
      <c r="O9" s="1031" t="s">
        <v>123</v>
      </c>
      <c r="Q9" s="296" t="s">
        <v>577</v>
      </c>
      <c r="R9" s="297" t="s">
        <v>576</v>
      </c>
      <c r="S9" s="560">
        <v>25</v>
      </c>
      <c r="T9" s="297" t="s">
        <v>90</v>
      </c>
    </row>
    <row r="10" spans="1:21" s="33" customFormat="1" ht="18.75" customHeight="1">
      <c r="C10" s="439" t="s">
        <v>43</v>
      </c>
      <c r="D10" s="440" t="s">
        <v>668</v>
      </c>
      <c r="E10" s="441" t="s">
        <v>723</v>
      </c>
      <c r="H10" s="33" t="s">
        <v>871</v>
      </c>
      <c r="L10" s="1712" t="s">
        <v>1099</v>
      </c>
      <c r="M10" s="1713"/>
      <c r="N10" s="289">
        <f>N5-N9</f>
        <v>0</v>
      </c>
      <c r="O10" s="1031" t="s">
        <v>123</v>
      </c>
      <c r="Q10" s="315" t="s">
        <v>578</v>
      </c>
      <c r="R10" s="297" t="s">
        <v>579</v>
      </c>
      <c r="S10" s="300">
        <v>21</v>
      </c>
      <c r="T10" s="297" t="s">
        <v>90</v>
      </c>
    </row>
    <row r="11" spans="1:21" s="33" customFormat="1" ht="18.75" customHeight="1">
      <c r="B11" s="1702" t="s">
        <v>197</v>
      </c>
      <c r="C11" s="291" t="s">
        <v>554</v>
      </c>
      <c r="D11" s="292"/>
      <c r="E11" s="292"/>
      <c r="F11" s="292"/>
      <c r="G11" s="292"/>
      <c r="H11" s="292"/>
      <c r="I11" s="292"/>
      <c r="J11" s="293"/>
      <c r="L11" s="1703" t="s">
        <v>1102</v>
      </c>
      <c r="M11" s="1704"/>
      <c r="N11" s="289">
        <f>IFERROR($N$10 * (SUMIF($E$16:$E$17, "新設", $J$16:$J$17) / SUM($J$16:$J$17)), 0)</f>
        <v>0</v>
      </c>
      <c r="O11" s="1032" t="s">
        <v>123</v>
      </c>
      <c r="Q11" s="324"/>
      <c r="R11" s="297" t="s">
        <v>580</v>
      </c>
      <c r="S11" s="300">
        <v>14</v>
      </c>
      <c r="T11" s="297" t="s">
        <v>90</v>
      </c>
    </row>
    <row r="12" spans="1:21" s="33" customFormat="1" ht="30" customHeight="1">
      <c r="B12" s="1702"/>
      <c r="C12" s="290" t="s">
        <v>131</v>
      </c>
      <c r="D12" s="125" t="s">
        <v>514</v>
      </c>
      <c r="E12" s="125" t="s">
        <v>585</v>
      </c>
      <c r="F12" s="125" t="s">
        <v>867</v>
      </c>
      <c r="G12" s="312" t="s">
        <v>866</v>
      </c>
      <c r="H12" s="312" t="s">
        <v>865</v>
      </c>
      <c r="I12" s="312" t="s">
        <v>864</v>
      </c>
      <c r="J12" s="313" t="s">
        <v>569</v>
      </c>
      <c r="L12" s="1821" t="s">
        <v>1103</v>
      </c>
      <c r="M12" s="1822"/>
      <c r="N12" s="289">
        <f>IFERROR($N$10 * (SUMIF($E$16:$E$17, "既設導水路活用型", $J$16:$J$17) / SUM($J$16:$J$17)), 0)</f>
        <v>0</v>
      </c>
      <c r="O12" s="1032" t="s">
        <v>123</v>
      </c>
      <c r="Q12" s="325"/>
      <c r="R12" s="297" t="s">
        <v>581</v>
      </c>
      <c r="S12" s="300">
        <v>9</v>
      </c>
      <c r="T12" s="297" t="s">
        <v>90</v>
      </c>
    </row>
    <row r="13" spans="1:21" s="33" customFormat="1" ht="18.75" customHeight="1">
      <c r="B13" s="290" t="s">
        <v>198</v>
      </c>
      <c r="C13" s="42" t="s">
        <v>45</v>
      </c>
      <c r="D13" s="42" t="s">
        <v>45</v>
      </c>
      <c r="E13" s="42" t="s">
        <v>45</v>
      </c>
      <c r="F13" s="42" t="s">
        <v>48</v>
      </c>
      <c r="G13" s="316" t="s">
        <v>567</v>
      </c>
      <c r="H13" s="316" t="s">
        <v>568</v>
      </c>
      <c r="I13" s="316" t="s">
        <v>108</v>
      </c>
      <c r="J13" s="317" t="s">
        <v>558</v>
      </c>
      <c r="L13" s="1703" t="s">
        <v>544</v>
      </c>
      <c r="M13" s="1704"/>
      <c r="N13" s="440"/>
      <c r="O13" s="90" t="s">
        <v>45</v>
      </c>
    </row>
    <row r="14" spans="1:21" s="33" customFormat="1" ht="18.75" customHeight="1" thickBot="1">
      <c r="B14" s="922" t="s">
        <v>519</v>
      </c>
      <c r="C14" s="1267" t="s">
        <v>571</v>
      </c>
      <c r="D14" s="1267" t="s">
        <v>572</v>
      </c>
      <c r="E14" s="1268" t="s">
        <v>582</v>
      </c>
      <c r="F14" s="944">
        <v>1</v>
      </c>
      <c r="G14" s="1269">
        <v>3</v>
      </c>
      <c r="H14" s="1269">
        <v>0.1</v>
      </c>
      <c r="I14" s="1270">
        <f>IF(OR(G14="", H14=""), "", 9.8*G14*H14*$J$3*F14)</f>
        <v>2.0580000000000003</v>
      </c>
      <c r="J14" s="1271">
        <f>IF(I14="", "", I14*(365/12)*$J$4)</f>
        <v>50.07800000000001</v>
      </c>
      <c r="L14" s="1723" t="s">
        <v>584</v>
      </c>
      <c r="M14" s="168" t="s">
        <v>574</v>
      </c>
      <c r="N14" s="289" t="str">
        <f>IF($N$13="可", IF($N$11&lt;200, $S$5, IF($N$11&lt;1000, $S$6, IF($N$11&lt;5000, $S$7, IF($N$11&lt;30000, $S$8, "")))), "")</f>
        <v/>
      </c>
      <c r="O14" s="90" t="s">
        <v>90</v>
      </c>
      <c r="Q14" s="447" t="s">
        <v>788</v>
      </c>
    </row>
    <row r="15" spans="1:21" s="33" customFormat="1" ht="18.75" customHeight="1" thickTop="1" thickBot="1">
      <c r="B15" s="943" t="s">
        <v>67</v>
      </c>
      <c r="C15" s="1260"/>
      <c r="D15" s="1260"/>
      <c r="E15" s="1260"/>
      <c r="F15" s="1261"/>
      <c r="G15" s="1272"/>
      <c r="H15" s="1272"/>
      <c r="I15" s="1248">
        <f>SUM(I16:I17)</f>
        <v>0</v>
      </c>
      <c r="J15" s="1253">
        <f>SUM(J16:J17)</f>
        <v>0</v>
      </c>
      <c r="K15" s="4"/>
      <c r="L15" s="1869"/>
      <c r="M15" s="318" t="s">
        <v>583</v>
      </c>
      <c r="N15" s="289" t="str">
        <f>IF($N$13="可", IF($N$11&lt;200, $S$9, IF($N$11&lt;1000, $S$10, IF($N$11&lt;5000, $S$11, IF($N$11&lt;30000, $S$12, "")))), "")</f>
        <v/>
      </c>
      <c r="O15" s="90" t="s">
        <v>90</v>
      </c>
      <c r="Q15" s="1867" t="s">
        <v>758</v>
      </c>
      <c r="R15" s="1868"/>
      <c r="S15" s="516" t="s">
        <v>560</v>
      </c>
      <c r="T15" s="517" t="s">
        <v>7</v>
      </c>
      <c r="U15" s="1434" t="s">
        <v>751</v>
      </c>
    </row>
    <row r="16" spans="1:21" s="33" customFormat="1" ht="18.75" customHeight="1" thickTop="1">
      <c r="B16" s="325" t="s">
        <v>535</v>
      </c>
      <c r="C16" s="1238"/>
      <c r="D16" s="1238"/>
      <c r="E16" s="1262"/>
      <c r="F16" s="942"/>
      <c r="G16" s="1249"/>
      <c r="H16" s="1249"/>
      <c r="I16" s="1273" t="str">
        <f>IF(OR(G16="", H16=""), "", 9.8*G16*H16*$J$3*F16)</f>
        <v/>
      </c>
      <c r="J16" s="1254" t="str">
        <f>IF(I16="", "", I16*(365/12)*$J$4)</f>
        <v/>
      </c>
      <c r="K16" s="4"/>
      <c r="L16" s="1696" t="s">
        <v>542</v>
      </c>
      <c r="M16" s="168" t="s">
        <v>574</v>
      </c>
      <c r="N16" s="298" t="str">
        <f>IF(OR($N$13="不可", $N$14=""), "", $N$11 * $N$14)</f>
        <v/>
      </c>
      <c r="O16" s="90" t="s">
        <v>88</v>
      </c>
      <c r="Q16" s="1859" t="s">
        <v>739</v>
      </c>
      <c r="R16" s="1860"/>
      <c r="S16" s="754">
        <v>8</v>
      </c>
      <c r="T16" s="518" t="s">
        <v>90</v>
      </c>
      <c r="U16" s="1435" t="s">
        <v>752</v>
      </c>
    </row>
    <row r="17" spans="2:21" s="33" customFormat="1" ht="18.75" customHeight="1">
      <c r="B17" s="297" t="s">
        <v>536</v>
      </c>
      <c r="C17" s="1239"/>
      <c r="D17" s="1239"/>
      <c r="E17" s="1264"/>
      <c r="F17" s="320"/>
      <c r="G17" s="1250"/>
      <c r="H17" s="1250"/>
      <c r="I17" s="1274" t="str">
        <f>IF(OR(G17="", H17=""), "", 9.8*G17*H17*$J$3*F17)</f>
        <v/>
      </c>
      <c r="J17" s="1255" t="str">
        <f>IF(I17="", "", I17*(365/12)*$J$4)</f>
        <v/>
      </c>
      <c r="K17" s="4"/>
      <c r="L17" s="1698"/>
      <c r="M17" s="318" t="s">
        <v>583</v>
      </c>
      <c r="N17" s="298" t="str">
        <f>IF(OR($N$13="不可", $N$15=""), "", $N$12*$N$15)</f>
        <v/>
      </c>
      <c r="O17" s="90" t="s">
        <v>88</v>
      </c>
      <c r="Q17" s="1859" t="s">
        <v>741</v>
      </c>
      <c r="R17" s="1860"/>
      <c r="S17" s="754">
        <v>8.5</v>
      </c>
      <c r="T17" s="518" t="s">
        <v>90</v>
      </c>
      <c r="U17" s="1435" t="s">
        <v>752</v>
      </c>
    </row>
    <row r="18" spans="2:21" s="33" customFormat="1" ht="18.75" customHeight="1">
      <c r="L18" s="1703" t="s">
        <v>767</v>
      </c>
      <c r="M18" s="1704"/>
      <c r="N18" s="560">
        <v>10</v>
      </c>
      <c r="O18" s="90" t="s">
        <v>90</v>
      </c>
      <c r="Q18" s="1859" t="s">
        <v>742</v>
      </c>
      <c r="R18" s="1860"/>
      <c r="S18" s="754">
        <v>10</v>
      </c>
      <c r="T18" s="518" t="s">
        <v>90</v>
      </c>
      <c r="U18" s="1435" t="s">
        <v>752</v>
      </c>
    </row>
    <row r="19" spans="2:21" s="33" customFormat="1" ht="18.75" customHeight="1">
      <c r="L19" s="1703" t="s">
        <v>769</v>
      </c>
      <c r="M19" s="1704"/>
      <c r="N19" s="298">
        <f>IFERROR($N$10*$N$18, "")</f>
        <v>0</v>
      </c>
      <c r="O19" s="90" t="s">
        <v>42</v>
      </c>
      <c r="Q19" s="1859" t="s">
        <v>746</v>
      </c>
      <c r="R19" s="1860"/>
      <c r="S19" s="754">
        <v>8</v>
      </c>
      <c r="T19" s="518" t="s">
        <v>90</v>
      </c>
      <c r="U19" s="1435" t="s">
        <v>752</v>
      </c>
    </row>
    <row r="20" spans="2:21" s="33" customFormat="1" ht="18.75" customHeight="1">
      <c r="L20" s="1716" t="s">
        <v>1087</v>
      </c>
      <c r="M20" s="1716"/>
      <c r="N20" s="1693" t="str">
        <f>IFERROR(IF($N$13="可", $N$9*【共通】事業所の光熱費!$H$6+SUM($N$16:$N$17), IF($N$13="不可", $N$9*【共通】事業所の光熱費!$H$6+N19, "")),"")</f>
        <v/>
      </c>
      <c r="O20" s="1696" t="s">
        <v>88</v>
      </c>
      <c r="Q20" s="1859" t="s">
        <v>743</v>
      </c>
      <c r="R20" s="1860"/>
      <c r="S20" s="754">
        <v>10</v>
      </c>
      <c r="T20" s="518" t="s">
        <v>90</v>
      </c>
      <c r="U20" s="1435" t="s">
        <v>752</v>
      </c>
    </row>
    <row r="21" spans="2:21" s="33" customFormat="1" ht="18.75" customHeight="1">
      <c r="L21" s="1717"/>
      <c r="M21" s="1717"/>
      <c r="N21" s="1694"/>
      <c r="O21" s="1697"/>
      <c r="Q21" s="1859" t="s">
        <v>750</v>
      </c>
      <c r="R21" s="1860"/>
      <c r="S21" s="754">
        <v>11</v>
      </c>
      <c r="T21" s="518" t="s">
        <v>90</v>
      </c>
      <c r="U21" s="1435" t="s">
        <v>768</v>
      </c>
    </row>
    <row r="22" spans="2:21" s="33" customFormat="1" ht="18.75" customHeight="1">
      <c r="L22" s="1718"/>
      <c r="M22" s="1718"/>
      <c r="N22" s="1695"/>
      <c r="O22" s="1698"/>
      <c r="P22" s="4"/>
      <c r="Q22" s="1859" t="s">
        <v>753</v>
      </c>
      <c r="R22" s="1860"/>
      <c r="S22" s="754">
        <v>9</v>
      </c>
      <c r="T22" s="518" t="s">
        <v>90</v>
      </c>
      <c r="U22" s="1435" t="s">
        <v>754</v>
      </c>
    </row>
    <row r="23" spans="2:21" ht="18.75" customHeight="1">
      <c r="L23" s="33"/>
      <c r="M23" s="33"/>
      <c r="N23" s="33"/>
      <c r="O23" s="33"/>
      <c r="Q23" s="1859" t="s">
        <v>744</v>
      </c>
      <c r="R23" s="1860"/>
      <c r="S23" s="754">
        <v>10</v>
      </c>
      <c r="T23" s="518" t="s">
        <v>90</v>
      </c>
      <c r="U23" s="1435" t="s">
        <v>752</v>
      </c>
    </row>
    <row r="24" spans="2:21" ht="18.75" customHeight="1">
      <c r="L24" s="33"/>
      <c r="M24" s="33"/>
      <c r="N24" s="33"/>
      <c r="O24" s="33"/>
      <c r="Q24" s="1859" t="s">
        <v>755</v>
      </c>
      <c r="R24" s="1860"/>
      <c r="S24" s="754">
        <v>11.5</v>
      </c>
      <c r="T24" s="518" t="s">
        <v>90</v>
      </c>
      <c r="U24" s="1435" t="s">
        <v>756</v>
      </c>
    </row>
    <row r="25" spans="2:21" ht="18.75" customHeight="1">
      <c r="L25" s="33"/>
      <c r="M25" s="33"/>
      <c r="N25" s="33"/>
      <c r="O25" s="33"/>
      <c r="Q25" s="1859" t="s">
        <v>745</v>
      </c>
      <c r="R25" s="1860"/>
      <c r="S25" s="754">
        <v>8.5</v>
      </c>
      <c r="T25" s="518" t="s">
        <v>90</v>
      </c>
      <c r="U25" s="1435" t="s">
        <v>752</v>
      </c>
    </row>
    <row r="26" spans="2:21" ht="18.75" customHeight="1">
      <c r="L26" s="33"/>
      <c r="M26" s="33"/>
      <c r="N26" s="33"/>
      <c r="O26" s="33"/>
      <c r="Q26" s="1859" t="s">
        <v>747</v>
      </c>
      <c r="R26" s="1860"/>
      <c r="S26" s="754">
        <v>8.5</v>
      </c>
      <c r="T26" s="518" t="s">
        <v>90</v>
      </c>
      <c r="U26" s="1435" t="s">
        <v>752</v>
      </c>
    </row>
    <row r="27" spans="2:21" ht="18.75" customHeight="1">
      <c r="Q27" s="1859" t="s">
        <v>757</v>
      </c>
      <c r="R27" s="1860"/>
      <c r="S27" s="754">
        <v>11</v>
      </c>
      <c r="T27" s="518" t="s">
        <v>90</v>
      </c>
      <c r="U27" s="1436" t="s">
        <v>759</v>
      </c>
    </row>
    <row r="28" spans="2:21" ht="18.75" customHeight="1">
      <c r="Q28" s="1859" t="s">
        <v>760</v>
      </c>
      <c r="R28" s="1860"/>
      <c r="S28" s="754">
        <v>9.5</v>
      </c>
      <c r="T28" s="518" t="s">
        <v>90</v>
      </c>
      <c r="U28" s="1436" t="s">
        <v>761</v>
      </c>
    </row>
    <row r="29" spans="2:21" ht="18.75" customHeight="1">
      <c r="Q29" s="1859" t="s">
        <v>748</v>
      </c>
      <c r="R29" s="1860"/>
      <c r="S29" s="754">
        <v>8</v>
      </c>
      <c r="T29" s="518" t="s">
        <v>90</v>
      </c>
      <c r="U29" s="1435" t="s">
        <v>752</v>
      </c>
    </row>
    <row r="30" spans="2:21" ht="18.75" customHeight="1">
      <c r="Q30" s="1859" t="s">
        <v>762</v>
      </c>
      <c r="R30" s="1860"/>
      <c r="S30" s="754">
        <v>11</v>
      </c>
      <c r="T30" s="518" t="s">
        <v>90</v>
      </c>
      <c r="U30" s="1435" t="s">
        <v>763</v>
      </c>
    </row>
    <row r="31" spans="2:21" ht="18.75" customHeight="1">
      <c r="Q31" s="1859" t="s">
        <v>764</v>
      </c>
      <c r="R31" s="1860"/>
      <c r="S31" s="754">
        <v>11</v>
      </c>
      <c r="T31" s="518" t="s">
        <v>90</v>
      </c>
      <c r="U31" s="1435" t="s">
        <v>765</v>
      </c>
    </row>
    <row r="32" spans="2:21" ht="18.75" customHeight="1">
      <c r="Q32" s="1859" t="s">
        <v>749</v>
      </c>
      <c r="R32" s="1860"/>
      <c r="S32" s="754">
        <v>8</v>
      </c>
      <c r="T32" s="518" t="s">
        <v>90</v>
      </c>
      <c r="U32" s="1435" t="s">
        <v>752</v>
      </c>
    </row>
    <row r="33" spans="17:21" ht="18.75" customHeight="1">
      <c r="Q33" s="1863" t="s">
        <v>766</v>
      </c>
      <c r="R33" s="1864"/>
      <c r="S33" s="755">
        <v>9.5</v>
      </c>
      <c r="T33" s="1439" t="s">
        <v>90</v>
      </c>
      <c r="U33" s="1437" t="s">
        <v>761</v>
      </c>
    </row>
    <row r="34" spans="17:21" ht="18.75" customHeight="1" thickBot="1">
      <c r="Q34" s="1861" t="s">
        <v>800</v>
      </c>
      <c r="R34" s="1862"/>
      <c r="S34" s="756"/>
      <c r="T34" s="537" t="s">
        <v>90</v>
      </c>
      <c r="U34" s="1438"/>
    </row>
    <row r="35" spans="17:21" ht="18.75" customHeight="1"/>
    <row r="36" spans="17:21" ht="18.75" customHeight="1"/>
    <row r="37" spans="17:21" ht="18.75" customHeight="1"/>
    <row r="38" spans="17:21" ht="18.75" customHeight="1"/>
  </sheetData>
  <protectedRanges>
    <protectedRange sqref="J4 C16:H17 N8 N13 N18:N19 S5:S12 S16:S34 J3" name="範囲1"/>
  </protectedRanges>
  <mergeCells count="39">
    <mergeCell ref="B11:B12"/>
    <mergeCell ref="L20:M22"/>
    <mergeCell ref="L10:M10"/>
    <mergeCell ref="L3:N3"/>
    <mergeCell ref="L4:M4"/>
    <mergeCell ref="L5:M5"/>
    <mergeCell ref="L8:M8"/>
    <mergeCell ref="L9:M9"/>
    <mergeCell ref="N20:N22"/>
    <mergeCell ref="L6:M6"/>
    <mergeCell ref="L7:M7"/>
    <mergeCell ref="L11:M11"/>
    <mergeCell ref="L12:M12"/>
    <mergeCell ref="L13:M13"/>
    <mergeCell ref="L16:L17"/>
    <mergeCell ref="L18:M18"/>
    <mergeCell ref="L19:M19"/>
    <mergeCell ref="L14:L15"/>
    <mergeCell ref="Q17:R17"/>
    <mergeCell ref="Q18:R18"/>
    <mergeCell ref="Q19:R19"/>
    <mergeCell ref="Q20:R20"/>
    <mergeCell ref="O20:O22"/>
    <mergeCell ref="Q15:R15"/>
    <mergeCell ref="Q31:R31"/>
    <mergeCell ref="Q32:R32"/>
    <mergeCell ref="Q21:R21"/>
    <mergeCell ref="Q22:R22"/>
    <mergeCell ref="Q23:R23"/>
    <mergeCell ref="Q24:R24"/>
    <mergeCell ref="Q25:R25"/>
    <mergeCell ref="Q16:R16"/>
    <mergeCell ref="Q33:R33"/>
    <mergeCell ref="Q34:R34"/>
    <mergeCell ref="Q26:R26"/>
    <mergeCell ref="Q27:R27"/>
    <mergeCell ref="Q28:R28"/>
    <mergeCell ref="Q29:R29"/>
    <mergeCell ref="Q30:R30"/>
  </mergeCells>
  <phoneticPr fontId="2"/>
  <conditionalFormatting sqref="F7:G7">
    <cfRule type="expression" dxfId="27" priority="18">
      <formula>$G$1="なし"</formula>
    </cfRule>
  </conditionalFormatting>
  <conditionalFormatting sqref="N13">
    <cfRule type="cellIs" dxfId="26" priority="12" operator="equal">
      <formula>"可"</formula>
    </cfRule>
    <cfRule type="expression" dxfId="25" priority="13">
      <formula>"可"</formula>
    </cfRule>
    <cfRule type="expression" dxfId="24" priority="14">
      <formula>$M$4&gt;$M$9</formula>
    </cfRule>
    <cfRule type="containsText" dxfId="23" priority="15" operator="containsText" text="不可">
      <formula>NOT(ISERROR(SEARCH("不可",N13)))</formula>
    </cfRule>
  </conditionalFormatting>
  <conditionalFormatting sqref="N14:N17">
    <cfRule type="expression" dxfId="22" priority="5">
      <formula>$N$13="不可"</formula>
    </cfRule>
  </conditionalFormatting>
  <conditionalFormatting sqref="N18">
    <cfRule type="expression" dxfId="21" priority="3">
      <formula>$N$13="不可"</formula>
    </cfRule>
    <cfRule type="expression" dxfId="20" priority="4">
      <formula>$N$13="可"</formula>
    </cfRule>
  </conditionalFormatting>
  <conditionalFormatting sqref="N19">
    <cfRule type="expression" dxfId="19" priority="1">
      <formula>$N$13="可"</formula>
    </cfRule>
    <cfRule type="expression" dxfId="18" priority="7">
      <formula>$M$4&gt;$M$9</formula>
    </cfRule>
  </conditionalFormatting>
  <conditionalFormatting sqref="S9">
    <cfRule type="expression" dxfId="17" priority="17">
      <formula>#REF!="不可"</formula>
    </cfRule>
  </conditionalFormatting>
  <dataValidations count="2">
    <dataValidation type="list" allowBlank="1" showInputMessage="1" showErrorMessage="1" sqref="E14:E17" xr:uid="{6B002399-CA6F-4994-A634-CD854EAABC48}">
      <formula1>"新設,既設導水路活用型"</formula1>
    </dataValidation>
    <dataValidation type="list" allowBlank="1" showInputMessage="1" showErrorMessage="1" sqref="N13" xr:uid="{9A0FAF78-4273-4BA2-8956-B8DA6BB331EE}">
      <formula1>"可,不可"</formula1>
    </dataValidation>
  </dataValidations>
  <pageMargins left="0.7" right="0.7" top="0.75" bottom="0.75" header="0.3" footer="0.3"/>
  <pageSetup paperSize="9" scale="52" orientation="landscape"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63F6A-B5B0-48A3-A5B7-BDAA149EE320}">
  <sheetPr>
    <pageSetUpPr fitToPage="1"/>
  </sheetPr>
  <dimension ref="A1:L26"/>
  <sheetViews>
    <sheetView zoomScaleNormal="100" workbookViewId="0">
      <pane ySplit="1" topLeftCell="A2" activePane="bottomLeft" state="frozen"/>
      <selection pane="bottomLeft" activeCell="A2" sqref="A2"/>
    </sheetView>
  </sheetViews>
  <sheetFormatPr defaultColWidth="10.58203125" defaultRowHeight="18.75" customHeight="1"/>
  <cols>
    <col min="1" max="1" width="3.58203125" style="4" customWidth="1"/>
    <col min="2" max="2" width="9.08203125" style="4" bestFit="1" customWidth="1"/>
    <col min="3" max="3" width="10.58203125" style="4" customWidth="1"/>
    <col min="4" max="16384" width="10.58203125" style="4"/>
  </cols>
  <sheetData>
    <row r="1" spans="1:12" ht="30" customHeight="1">
      <c r="A1" s="163" t="s">
        <v>1069</v>
      </c>
    </row>
    <row r="2" spans="1:12" s="33" customFormat="1" ht="18.75" customHeight="1"/>
    <row r="3" spans="1:12" s="33" customFormat="1" ht="18.75" customHeight="1">
      <c r="C3" s="115" t="s">
        <v>197</v>
      </c>
      <c r="D3" s="116"/>
      <c r="E3" s="117" t="s">
        <v>198</v>
      </c>
      <c r="F3" s="117" t="s">
        <v>1077</v>
      </c>
      <c r="G3" s="117" t="s">
        <v>1080</v>
      </c>
    </row>
    <row r="4" spans="1:12" s="33" customFormat="1" ht="18.75" customHeight="1">
      <c r="C4" s="118" t="s">
        <v>1078</v>
      </c>
      <c r="D4" s="116"/>
      <c r="E4" s="117" t="s">
        <v>204</v>
      </c>
      <c r="F4" s="636">
        <f>-I15</f>
        <v>0</v>
      </c>
      <c r="G4" s="636">
        <f>-F4</f>
        <v>0</v>
      </c>
    </row>
    <row r="5" spans="1:12" s="33" customFormat="1" ht="18.75" customHeight="1">
      <c r="C5" s="118" t="s">
        <v>205</v>
      </c>
      <c r="D5" s="116"/>
      <c r="E5" s="120" t="s">
        <v>374</v>
      </c>
      <c r="F5" s="897">
        <f>-J15</f>
        <v>0</v>
      </c>
      <c r="G5" s="897">
        <f t="shared" ref="G5:G7" si="0">-F5</f>
        <v>0</v>
      </c>
    </row>
    <row r="6" spans="1:12" s="33" customFormat="1" ht="18.75" customHeight="1">
      <c r="C6" s="118" t="s">
        <v>1088</v>
      </c>
      <c r="D6" s="116"/>
      <c r="E6" s="117" t="s">
        <v>208</v>
      </c>
      <c r="F6" s="746">
        <f>-I15*【共通】事業所の光熱費!H6</f>
        <v>0</v>
      </c>
      <c r="G6" s="746">
        <f t="shared" si="0"/>
        <v>0</v>
      </c>
    </row>
    <row r="7" spans="1:12" s="33" customFormat="1" ht="18.75" customHeight="1">
      <c r="C7" s="173" t="s">
        <v>436</v>
      </c>
      <c r="D7" s="116"/>
      <c r="E7" s="117" t="s">
        <v>209</v>
      </c>
      <c r="F7" s="766">
        <f>F4*'(参考)排出係数'!$C$3*0.0000258</f>
        <v>0</v>
      </c>
      <c r="G7" s="766">
        <f t="shared" si="0"/>
        <v>0</v>
      </c>
    </row>
    <row r="8" spans="1:12" s="33" customFormat="1" ht="18.75" customHeight="1">
      <c r="C8" s="33" t="s">
        <v>376</v>
      </c>
      <c r="D8" s="379"/>
      <c r="E8" s="379"/>
      <c r="F8" s="379"/>
      <c r="G8" s="379"/>
      <c r="H8" s="379"/>
      <c r="I8" s="379"/>
    </row>
    <row r="9" spans="1:12" s="33" customFormat="1" ht="18.75" customHeight="1"/>
    <row r="10" spans="1:12" s="33" customFormat="1" ht="18.75" customHeight="1">
      <c r="C10" s="439" t="s">
        <v>667</v>
      </c>
      <c r="D10" s="440" t="s">
        <v>668</v>
      </c>
      <c r="E10" s="441" t="s">
        <v>723</v>
      </c>
    </row>
    <row r="11" spans="1:12" s="33" customFormat="1" ht="18.75" customHeight="1">
      <c r="B11" s="1702" t="s">
        <v>197</v>
      </c>
      <c r="C11" s="341" t="s">
        <v>609</v>
      </c>
      <c r="D11" s="398"/>
      <c r="E11" s="330"/>
      <c r="F11" s="330"/>
      <c r="G11" s="330"/>
      <c r="H11" s="330"/>
      <c r="I11" s="399" t="s">
        <v>58</v>
      </c>
      <c r="J11" s="400"/>
    </row>
    <row r="12" spans="1:12" s="108" customFormat="1" ht="35.25" customHeight="1">
      <c r="B12" s="1702"/>
      <c r="C12" s="290" t="s">
        <v>131</v>
      </c>
      <c r="D12" s="125" t="s">
        <v>514</v>
      </c>
      <c r="E12" s="45" t="s">
        <v>850</v>
      </c>
      <c r="F12" s="607" t="s">
        <v>860</v>
      </c>
      <c r="G12" s="45" t="s">
        <v>851</v>
      </c>
      <c r="H12" s="312" t="s">
        <v>853</v>
      </c>
      <c r="I12" s="88" t="s">
        <v>1090</v>
      </c>
      <c r="J12" s="88" t="s">
        <v>517</v>
      </c>
      <c r="L12" s="401"/>
    </row>
    <row r="13" spans="1:12" s="108" customFormat="1" ht="18.75" customHeight="1">
      <c r="B13" s="290" t="s">
        <v>198</v>
      </c>
      <c r="C13" s="42" t="s">
        <v>45</v>
      </c>
      <c r="D13" s="42" t="s">
        <v>45</v>
      </c>
      <c r="E13" s="42" t="s">
        <v>6</v>
      </c>
      <c r="F13" s="42" t="s">
        <v>516</v>
      </c>
      <c r="G13" s="42" t="s">
        <v>852</v>
      </c>
      <c r="H13" s="316" t="s">
        <v>854</v>
      </c>
      <c r="I13" s="90" t="s">
        <v>123</v>
      </c>
      <c r="J13" s="90" t="s">
        <v>1123</v>
      </c>
    </row>
    <row r="14" spans="1:12" s="402" customFormat="1" ht="18.75" customHeight="1" thickBot="1">
      <c r="B14" s="922" t="s">
        <v>519</v>
      </c>
      <c r="C14" s="1266" t="s">
        <v>136</v>
      </c>
      <c r="D14" s="1266" t="s">
        <v>1122</v>
      </c>
      <c r="E14" s="1130">
        <v>100</v>
      </c>
      <c r="F14" s="1275">
        <v>60</v>
      </c>
      <c r="G14" s="1130">
        <v>80</v>
      </c>
      <c r="H14" s="1275">
        <v>180</v>
      </c>
      <c r="I14" s="1278">
        <f>IFERROR(IF(OR(G14="", H14="", F14=""), "", G14*H14*F14/100), "")</f>
        <v>8640</v>
      </c>
      <c r="J14" s="1102">
        <f>IFERROR(IF(I14="", "", I14*'(参考)排出係数'!$H$3), "")</f>
        <v>3715.2</v>
      </c>
    </row>
    <row r="15" spans="1:12" s="33" customFormat="1" ht="18.75" customHeight="1" thickTop="1" thickBot="1">
      <c r="B15" s="937" t="s">
        <v>224</v>
      </c>
      <c r="C15" s="1077"/>
      <c r="D15" s="1077"/>
      <c r="E15" s="1131"/>
      <c r="F15" s="1221"/>
      <c r="G15" s="1131"/>
      <c r="H15" s="1221"/>
      <c r="I15" s="1279">
        <f>SUM(I16:I25)</f>
        <v>0</v>
      </c>
      <c r="J15" s="1282">
        <f>SUM(J16:J25)</f>
        <v>0</v>
      </c>
    </row>
    <row r="16" spans="1:12" s="414" customFormat="1" ht="18.75" customHeight="1" thickTop="1">
      <c r="B16" s="941" t="s">
        <v>521</v>
      </c>
      <c r="C16" s="1078"/>
      <c r="D16" s="1078"/>
      <c r="E16" s="1132"/>
      <c r="F16" s="1276"/>
      <c r="G16" s="1132"/>
      <c r="H16" s="1276"/>
      <c r="I16" s="1280" t="str">
        <f>IFERROR(IF(OR(G16="", H16="", F16=""), "", G16*H16*F16/100), "")</f>
        <v/>
      </c>
      <c r="J16" s="1283" t="str">
        <f>IFERROR(IF(I16="", "", I16*'(参考)排出係数'!$H$3), "")</f>
        <v/>
      </c>
    </row>
    <row r="17" spans="2:10" s="414" customFormat="1" ht="18.75" customHeight="1">
      <c r="B17" s="415" t="s">
        <v>522</v>
      </c>
      <c r="C17" s="1079"/>
      <c r="D17" s="1079"/>
      <c r="E17" s="1133"/>
      <c r="F17" s="1277"/>
      <c r="G17" s="1133"/>
      <c r="H17" s="1277"/>
      <c r="I17" s="1281" t="str">
        <f t="shared" ref="I17:I25" si="1">IFERROR(IF(OR(G17="", H17="", F17=""), "", G17*H17*F17/100), "")</f>
        <v/>
      </c>
      <c r="J17" s="1284" t="str">
        <f>IFERROR(IF(I17="", "", I17*'(参考)排出係数'!$H$3), "")</f>
        <v/>
      </c>
    </row>
    <row r="18" spans="2:10" s="414" customFormat="1" ht="18.75" customHeight="1">
      <c r="B18" s="415" t="s">
        <v>523</v>
      </c>
      <c r="C18" s="1079"/>
      <c r="D18" s="1079"/>
      <c r="E18" s="1133"/>
      <c r="F18" s="1277"/>
      <c r="G18" s="1133"/>
      <c r="H18" s="1277"/>
      <c r="I18" s="1281" t="str">
        <f t="shared" si="1"/>
        <v/>
      </c>
      <c r="J18" s="1284" t="str">
        <f>IFERROR(IF(I18="", "", I18*'(参考)排出係数'!$H$3), "")</f>
        <v/>
      </c>
    </row>
    <row r="19" spans="2:10" s="33" customFormat="1" ht="18.75" customHeight="1">
      <c r="B19" s="297" t="s">
        <v>524</v>
      </c>
      <c r="C19" s="1079"/>
      <c r="D19" s="1079"/>
      <c r="E19" s="1133"/>
      <c r="F19" s="1277"/>
      <c r="G19" s="1133"/>
      <c r="H19" s="1277"/>
      <c r="I19" s="1281" t="str">
        <f t="shared" si="1"/>
        <v/>
      </c>
      <c r="J19" s="1284" t="str">
        <f>IFERROR(IF(I19="", "", I19*'(参考)排出係数'!$H$3), "")</f>
        <v/>
      </c>
    </row>
    <row r="20" spans="2:10" s="33" customFormat="1" ht="18.75" customHeight="1">
      <c r="B20" s="297" t="s">
        <v>525</v>
      </c>
      <c r="C20" s="1079"/>
      <c r="D20" s="1079"/>
      <c r="E20" s="1133"/>
      <c r="F20" s="1277"/>
      <c r="G20" s="1133"/>
      <c r="H20" s="1277"/>
      <c r="I20" s="1281" t="str">
        <f t="shared" si="1"/>
        <v/>
      </c>
      <c r="J20" s="1284" t="str">
        <f>IFERROR(IF(I20="", "", I20*'(参考)排出係数'!$H$3), "")</f>
        <v/>
      </c>
    </row>
    <row r="21" spans="2:10" s="33" customFormat="1" ht="18.75" customHeight="1">
      <c r="B21" s="297" t="s">
        <v>526</v>
      </c>
      <c r="C21" s="1079"/>
      <c r="D21" s="1079"/>
      <c r="E21" s="1133"/>
      <c r="F21" s="1277"/>
      <c r="G21" s="1133"/>
      <c r="H21" s="1277"/>
      <c r="I21" s="1281" t="str">
        <f t="shared" si="1"/>
        <v/>
      </c>
      <c r="J21" s="1284" t="str">
        <f>IFERROR(IF(I21="", "", I21*'(参考)排出係数'!$H$3), "")</f>
        <v/>
      </c>
    </row>
    <row r="22" spans="2:10" s="33" customFormat="1" ht="18.75" customHeight="1">
      <c r="B22" s="297" t="s">
        <v>527</v>
      </c>
      <c r="C22" s="1079"/>
      <c r="D22" s="1079"/>
      <c r="E22" s="1133"/>
      <c r="F22" s="1277"/>
      <c r="G22" s="1133"/>
      <c r="H22" s="1277"/>
      <c r="I22" s="1281" t="str">
        <f t="shared" si="1"/>
        <v/>
      </c>
      <c r="J22" s="1284" t="str">
        <f>IFERROR(IF(I22="", "", I22*'(参考)排出係数'!$H$3), "")</f>
        <v/>
      </c>
    </row>
    <row r="23" spans="2:10" s="33" customFormat="1" ht="18.75" customHeight="1">
      <c r="B23" s="297" t="s">
        <v>528</v>
      </c>
      <c r="C23" s="1079"/>
      <c r="D23" s="1079"/>
      <c r="E23" s="1133"/>
      <c r="F23" s="1277"/>
      <c r="G23" s="1133"/>
      <c r="H23" s="1277"/>
      <c r="I23" s="1281" t="str">
        <f t="shared" si="1"/>
        <v/>
      </c>
      <c r="J23" s="1284" t="str">
        <f>IFERROR(IF(I23="", "", I23*'(参考)排出係数'!$H$3), "")</f>
        <v/>
      </c>
    </row>
    <row r="24" spans="2:10" s="33" customFormat="1" ht="18.75" customHeight="1">
      <c r="B24" s="297" t="s">
        <v>529</v>
      </c>
      <c r="C24" s="1079"/>
      <c r="D24" s="1079"/>
      <c r="E24" s="1133"/>
      <c r="F24" s="1277"/>
      <c r="G24" s="1133"/>
      <c r="H24" s="1277"/>
      <c r="I24" s="1281" t="str">
        <f t="shared" si="1"/>
        <v/>
      </c>
      <c r="J24" s="1284" t="str">
        <f>IFERROR(IF(I24="", "", I24*'(参考)排出係数'!$H$3), "")</f>
        <v/>
      </c>
    </row>
    <row r="25" spans="2:10" s="33" customFormat="1" ht="18.75" customHeight="1">
      <c r="B25" s="297" t="s">
        <v>530</v>
      </c>
      <c r="C25" s="1079"/>
      <c r="D25" s="1079"/>
      <c r="E25" s="1133"/>
      <c r="F25" s="1277"/>
      <c r="G25" s="1133"/>
      <c r="H25" s="1277"/>
      <c r="I25" s="1281" t="str">
        <f t="shared" si="1"/>
        <v/>
      </c>
      <c r="J25" s="1284" t="str">
        <f>IFERROR(IF(I25="", "", I25*'(参考)排出係数'!$H$3), "")</f>
        <v/>
      </c>
    </row>
    <row r="26" spans="2:10" s="33" customFormat="1" ht="18.75" customHeight="1"/>
  </sheetData>
  <protectedRanges>
    <protectedRange sqref="C16:H25" name="範囲1"/>
  </protectedRanges>
  <mergeCells count="1">
    <mergeCell ref="B11:B12"/>
  </mergeCells>
  <phoneticPr fontId="2"/>
  <conditionalFormatting sqref="F7:G7">
    <cfRule type="expression" dxfId="16" priority="1">
      <formula>$E$1="なし"</formula>
    </cfRule>
  </conditionalFormatting>
  <pageMargins left="0.7" right="0.7" top="0.75" bottom="0.75" header="0.3" footer="0.3"/>
  <pageSetup paperSize="9" scale="80" orientation="landscape" horizontalDpi="0" verticalDpi="0" r:id="rId1"/>
  <ignoredErrors>
    <ignoredError sqref="J15" 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CE4A0-A5E3-48DC-9E16-191084C4E6D1}">
  <sheetPr>
    <pageSetUpPr fitToPage="1"/>
  </sheetPr>
  <dimension ref="A1:AS32"/>
  <sheetViews>
    <sheetView zoomScaleNormal="100" zoomScaleSheetLayoutView="100" workbookViewId="0">
      <pane ySplit="1" topLeftCell="A2" activePane="bottomLeft" state="frozen"/>
      <selection activeCell="I4" sqref="I4:I7"/>
      <selection pane="bottomLeft" activeCell="A2" sqref="A2"/>
    </sheetView>
  </sheetViews>
  <sheetFormatPr defaultColWidth="8.58203125" defaultRowHeight="13"/>
  <cols>
    <col min="1" max="1" width="3.58203125" style="112" customWidth="1"/>
    <col min="2" max="2" width="7.58203125" style="112" customWidth="1"/>
    <col min="3" max="35" width="10.58203125" style="112" customWidth="1"/>
    <col min="36" max="16384" width="8.58203125" style="112"/>
  </cols>
  <sheetData>
    <row r="1" spans="1:45" s="114" customFormat="1" ht="30" customHeight="1">
      <c r="A1" s="163" t="s">
        <v>1068</v>
      </c>
      <c r="B1" s="164"/>
      <c r="C1" s="164"/>
      <c r="D1" s="164"/>
      <c r="E1" s="164"/>
      <c r="F1" s="164"/>
      <c r="G1" s="164"/>
      <c r="H1" s="177"/>
      <c r="I1" s="164"/>
      <c r="J1" s="164"/>
      <c r="K1" s="167"/>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row>
    <row r="2" spans="1:45" s="380" customFormat="1" ht="18.75" customHeight="1">
      <c r="A2" s="379"/>
      <c r="B2" s="379"/>
      <c r="C2" s="379"/>
      <c r="D2" s="379"/>
      <c r="E2" s="379"/>
      <c r="F2" s="379"/>
      <c r="G2" s="379"/>
      <c r="H2" s="379"/>
      <c r="I2" s="379"/>
      <c r="J2" s="379"/>
      <c r="K2" s="379"/>
      <c r="L2" s="379"/>
      <c r="M2" s="379"/>
      <c r="N2" s="379"/>
      <c r="O2" s="379"/>
      <c r="P2" s="557"/>
      <c r="Q2" s="557"/>
      <c r="R2" s="557"/>
      <c r="S2" s="557"/>
      <c r="T2" s="557"/>
      <c r="U2" s="557"/>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row>
    <row r="3" spans="1:45" s="380" customFormat="1" ht="18.75" customHeight="1">
      <c r="A3" s="379"/>
      <c r="B3" s="379"/>
      <c r="C3" s="115" t="s">
        <v>197</v>
      </c>
      <c r="D3" s="116"/>
      <c r="E3" s="117" t="s">
        <v>198</v>
      </c>
      <c r="F3" s="117" t="s">
        <v>199</v>
      </c>
      <c r="G3" s="121" t="s">
        <v>200</v>
      </c>
      <c r="H3" s="117" t="s">
        <v>201</v>
      </c>
      <c r="I3" s="122" t="s">
        <v>202</v>
      </c>
      <c r="J3" s="379"/>
      <c r="K3" s="379"/>
      <c r="L3" s="379"/>
      <c r="M3" s="379"/>
      <c r="N3" s="360" t="s">
        <v>651</v>
      </c>
      <c r="O3" s="361"/>
      <c r="P3" s="117" t="s">
        <v>659</v>
      </c>
      <c r="Q3" s="117" t="s">
        <v>661</v>
      </c>
      <c r="R3" s="557"/>
      <c r="S3" s="557"/>
      <c r="T3" s="557"/>
      <c r="U3" s="557"/>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row>
    <row r="4" spans="1:45" s="380" customFormat="1" ht="18.75" customHeight="1">
      <c r="A4" s="379"/>
      <c r="B4" s="379"/>
      <c r="C4" s="118" t="s">
        <v>203</v>
      </c>
      <c r="D4" s="119"/>
      <c r="E4" s="117" t="s">
        <v>204</v>
      </c>
      <c r="F4" s="896" t="s">
        <v>45</v>
      </c>
      <c r="G4" s="896" t="s">
        <v>45</v>
      </c>
      <c r="H4" s="896" t="s">
        <v>45</v>
      </c>
      <c r="I4" s="899" t="s">
        <v>45</v>
      </c>
      <c r="J4" s="379"/>
      <c r="K4" s="379"/>
      <c r="L4" s="379"/>
      <c r="M4" s="379"/>
      <c r="N4" s="418" t="s">
        <v>652</v>
      </c>
      <c r="O4" s="421" t="s">
        <v>654</v>
      </c>
      <c r="P4" s="419">
        <v>45</v>
      </c>
      <c r="Q4" s="420" t="s">
        <v>660</v>
      </c>
      <c r="R4" s="557"/>
      <c r="S4" s="557"/>
      <c r="T4" s="557"/>
      <c r="U4" s="557"/>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row>
    <row r="5" spans="1:45" s="380" customFormat="1" ht="18.75" customHeight="1">
      <c r="A5" s="379"/>
      <c r="B5" s="379"/>
      <c r="C5" s="118" t="s">
        <v>205</v>
      </c>
      <c r="D5" s="119"/>
      <c r="E5" s="120" t="s">
        <v>374</v>
      </c>
      <c r="F5" s="897">
        <f>O17</f>
        <v>0</v>
      </c>
      <c r="G5" s="898">
        <f>V17+AA17+AF17</f>
        <v>0</v>
      </c>
      <c r="H5" s="616">
        <f>F5-G5</f>
        <v>0</v>
      </c>
      <c r="I5" s="888">
        <f>IF(OR(F5=0,H5=0),0,H5/F5)</f>
        <v>0</v>
      </c>
      <c r="J5" s="379"/>
      <c r="K5" s="379"/>
      <c r="L5" s="379"/>
      <c r="M5" s="379"/>
      <c r="N5" s="422"/>
      <c r="O5" s="421" t="s">
        <v>656</v>
      </c>
      <c r="P5" s="419">
        <v>46</v>
      </c>
      <c r="Q5" s="420" t="s">
        <v>660</v>
      </c>
      <c r="R5" s="557"/>
      <c r="S5" s="557"/>
      <c r="T5" s="557"/>
      <c r="U5" s="557"/>
      <c r="V5" s="379"/>
      <c r="W5" s="379"/>
      <c r="X5" s="379"/>
      <c r="Y5" s="379"/>
      <c r="Z5" s="379"/>
      <c r="AA5" s="379"/>
      <c r="AB5" s="379"/>
      <c r="AC5" s="379"/>
      <c r="AD5" s="379"/>
      <c r="AE5" s="379"/>
      <c r="AF5" s="379"/>
      <c r="AG5" s="379"/>
      <c r="AH5" s="379"/>
      <c r="AI5" s="379"/>
      <c r="AJ5" s="379"/>
      <c r="AK5" s="379"/>
      <c r="AL5" s="379"/>
      <c r="AM5" s="379"/>
      <c r="AN5" s="379"/>
      <c r="AO5" s="379"/>
      <c r="AP5" s="379"/>
      <c r="AQ5" s="379"/>
      <c r="AR5" s="379"/>
      <c r="AS5" s="379"/>
    </row>
    <row r="6" spans="1:45" s="380" customFormat="1" ht="18.75" customHeight="1">
      <c r="A6" s="379"/>
      <c r="B6" s="379"/>
      <c r="C6" s="118" t="s">
        <v>207</v>
      </c>
      <c r="D6" s="119"/>
      <c r="E6" s="117" t="s">
        <v>208</v>
      </c>
      <c r="F6" s="746">
        <f>N17</f>
        <v>0</v>
      </c>
      <c r="G6" s="746">
        <f>U17+Z17+AE17</f>
        <v>0</v>
      </c>
      <c r="H6" s="616">
        <f>AI17</f>
        <v>0</v>
      </c>
      <c r="I6" s="888">
        <f>IF(OR(F6=0,H6=0),0,H6/F6)</f>
        <v>0</v>
      </c>
      <c r="J6" s="379"/>
      <c r="K6" s="379"/>
      <c r="L6" s="379"/>
      <c r="M6" s="379"/>
      <c r="N6" s="421" t="s">
        <v>657</v>
      </c>
      <c r="O6" s="421" t="s">
        <v>658</v>
      </c>
      <c r="P6" s="419">
        <v>99.5</v>
      </c>
      <c r="Q6" s="420" t="s">
        <v>660</v>
      </c>
      <c r="R6" s="557"/>
      <c r="S6" s="557"/>
      <c r="T6" s="557"/>
      <c r="U6" s="557"/>
      <c r="V6" s="379"/>
      <c r="W6" s="379"/>
      <c r="X6" s="379"/>
      <c r="Y6" s="379"/>
      <c r="Z6" s="379"/>
      <c r="AA6" s="379"/>
      <c r="AB6" s="379"/>
      <c r="AC6" s="379"/>
      <c r="AD6" s="379"/>
      <c r="AE6" s="1404"/>
      <c r="AF6" s="379"/>
      <c r="AG6" s="379"/>
      <c r="AH6" s="379"/>
      <c r="AI6" s="379"/>
      <c r="AJ6" s="379"/>
      <c r="AK6" s="379"/>
      <c r="AL6" s="379"/>
      <c r="AM6" s="379"/>
      <c r="AN6" s="379"/>
      <c r="AO6" s="379"/>
      <c r="AP6" s="379"/>
      <c r="AQ6" s="379"/>
      <c r="AR6" s="379"/>
      <c r="AS6" s="379"/>
    </row>
    <row r="7" spans="1:45" s="380" customFormat="1" ht="18.75" customHeight="1" thickBot="1">
      <c r="A7" s="379"/>
      <c r="B7" s="379"/>
      <c r="C7" s="173" t="s">
        <v>436</v>
      </c>
      <c r="D7" s="174"/>
      <c r="E7" s="117" t="s">
        <v>209</v>
      </c>
      <c r="F7" s="901">
        <f>F5/'(参考)排出係数'!$F$3*0.0000258</f>
        <v>0</v>
      </c>
      <c r="G7" s="901">
        <f>G5/'(参考)排出係数'!$F$3*0.0000258</f>
        <v>0</v>
      </c>
      <c r="H7" s="901">
        <f>H5/'(参考)排出係数'!$F$3*0.0000258</f>
        <v>0</v>
      </c>
      <c r="I7" s="888">
        <f>IF(OR(F7=0,H7=0),0,H7/F7)</f>
        <v>0</v>
      </c>
      <c r="J7" s="379"/>
      <c r="K7" s="379"/>
      <c r="L7" s="379"/>
      <c r="M7" s="379"/>
      <c r="N7" s="352" t="s">
        <v>665</v>
      </c>
      <c r="O7" s="379"/>
      <c r="P7" s="557"/>
      <c r="Q7" s="557"/>
      <c r="R7" s="557"/>
      <c r="S7" s="557"/>
      <c r="T7" s="557"/>
      <c r="U7" s="557"/>
      <c r="V7" s="379"/>
      <c r="W7" s="379"/>
      <c r="X7" s="379"/>
      <c r="Y7" s="379"/>
      <c r="Z7" s="379"/>
      <c r="AA7" s="379"/>
      <c r="AB7" s="379"/>
      <c r="AC7" s="379"/>
      <c r="AD7" s="379"/>
      <c r="AE7" s="1404"/>
      <c r="AF7" s="379"/>
      <c r="AG7" s="379"/>
      <c r="AH7" s="379"/>
      <c r="AI7" s="379"/>
      <c r="AJ7" s="379"/>
      <c r="AK7" s="379"/>
      <c r="AL7" s="379"/>
      <c r="AM7" s="379"/>
      <c r="AN7" s="379"/>
      <c r="AO7" s="379"/>
      <c r="AP7" s="379"/>
      <c r="AQ7" s="379"/>
      <c r="AR7" s="379"/>
      <c r="AS7" s="379"/>
    </row>
    <row r="8" spans="1:45" s="380" customFormat="1" ht="18.75" customHeight="1" thickBot="1">
      <c r="A8" s="379"/>
      <c r="B8" s="379"/>
      <c r="C8" s="33" t="s">
        <v>376</v>
      </c>
      <c r="D8" s="379"/>
      <c r="E8" s="379"/>
      <c r="F8" s="379"/>
      <c r="G8" s="379"/>
      <c r="H8" s="379"/>
      <c r="I8" s="379"/>
      <c r="J8" s="379"/>
      <c r="K8" s="379"/>
      <c r="L8" s="379"/>
      <c r="M8" s="379"/>
      <c r="N8" s="352" t="s">
        <v>664</v>
      </c>
      <c r="O8" s="379"/>
      <c r="P8" s="1870" t="s">
        <v>663</v>
      </c>
      <c r="Q8" s="1871"/>
      <c r="R8" s="557"/>
      <c r="S8" s="557"/>
      <c r="T8" s="557"/>
      <c r="U8" s="557"/>
      <c r="V8" s="379"/>
      <c r="W8" s="379"/>
      <c r="X8" s="379"/>
      <c r="Y8" s="379"/>
      <c r="Z8" s="379"/>
      <c r="AA8" s="379"/>
      <c r="AB8" s="379"/>
      <c r="AC8" s="379"/>
      <c r="AD8" s="379"/>
      <c r="AE8" s="1404"/>
      <c r="AF8" s="379"/>
      <c r="AG8" s="379"/>
      <c r="AH8" s="379"/>
      <c r="AI8" s="379"/>
      <c r="AJ8" s="379"/>
      <c r="AK8" s="379"/>
      <c r="AL8" s="379"/>
      <c r="AM8" s="379"/>
      <c r="AN8" s="379"/>
      <c r="AO8" s="379"/>
      <c r="AP8" s="379"/>
      <c r="AQ8" s="379"/>
      <c r="AR8" s="379"/>
      <c r="AS8" s="379"/>
    </row>
    <row r="9" spans="1:45" s="380" customFormat="1" ht="18.75" customHeight="1">
      <c r="A9" s="379"/>
      <c r="B9" s="379"/>
      <c r="C9" s="33"/>
      <c r="D9" s="379"/>
      <c r="E9" s="379"/>
      <c r="F9" s="379"/>
      <c r="G9" s="379"/>
      <c r="H9" s="379"/>
      <c r="I9" s="379"/>
      <c r="J9" s="379"/>
      <c r="K9" s="379"/>
      <c r="L9" s="379"/>
      <c r="M9" s="379"/>
      <c r="N9" s="379"/>
      <c r="O9" s="379"/>
      <c r="P9" s="424" t="s">
        <v>237</v>
      </c>
      <c r="Q9" s="425" t="s">
        <v>662</v>
      </c>
      <c r="R9" s="557"/>
      <c r="S9" s="557"/>
      <c r="T9" s="557"/>
      <c r="U9" s="557"/>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row>
    <row r="10" spans="1:45" s="380" customFormat="1" ht="18.75" customHeight="1" thickBot="1">
      <c r="A10" s="379"/>
      <c r="B10" s="379"/>
      <c r="C10" s="439" t="s">
        <v>43</v>
      </c>
      <c r="D10" s="440" t="s">
        <v>668</v>
      </c>
      <c r="E10" s="441" t="s">
        <v>723</v>
      </c>
      <c r="F10" s="379"/>
      <c r="G10" s="352"/>
      <c r="H10" s="379"/>
      <c r="I10" s="379"/>
      <c r="J10" s="379"/>
      <c r="K10" s="381"/>
      <c r="L10" s="379"/>
      <c r="M10" s="379"/>
      <c r="N10" s="379"/>
      <c r="O10" s="379"/>
      <c r="P10" s="1374" t="s">
        <v>491</v>
      </c>
      <c r="Q10" s="1375" t="s">
        <v>653</v>
      </c>
      <c r="R10" s="557"/>
      <c r="S10" s="557"/>
      <c r="T10" s="557"/>
      <c r="U10" s="557"/>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row>
    <row r="11" spans="1:45" s="380" customFormat="1" ht="18.75" customHeight="1">
      <c r="A11" s="379"/>
      <c r="B11" s="1688" t="s">
        <v>197</v>
      </c>
      <c r="C11" s="406" t="s">
        <v>199</v>
      </c>
      <c r="D11" s="407"/>
      <c r="E11" s="407"/>
      <c r="F11" s="407"/>
      <c r="G11" s="407"/>
      <c r="H11" s="407"/>
      <c r="I11" s="407"/>
      <c r="J11" s="407"/>
      <c r="K11" s="407"/>
      <c r="L11" s="407"/>
      <c r="M11" s="407"/>
      <c r="N11" s="407"/>
      <c r="O11" s="408"/>
      <c r="P11" s="411" t="s">
        <v>200</v>
      </c>
      <c r="Q11" s="412"/>
      <c r="R11" s="412"/>
      <c r="S11" s="412"/>
      <c r="T11" s="413"/>
      <c r="U11" s="413"/>
      <c r="V11" s="384"/>
      <c r="W11" s="384"/>
      <c r="X11" s="384"/>
      <c r="Y11" s="384"/>
      <c r="Z11" s="384"/>
      <c r="AA11" s="384"/>
      <c r="AB11" s="413"/>
      <c r="AC11" s="413"/>
      <c r="AD11" s="413"/>
      <c r="AE11" s="413"/>
      <c r="AF11" s="413"/>
      <c r="AG11" s="773"/>
      <c r="AH11" s="771" t="s">
        <v>1113</v>
      </c>
      <c r="AI11" s="617"/>
      <c r="AJ11" s="379"/>
      <c r="AK11" s="379"/>
      <c r="AL11" s="379"/>
      <c r="AM11" s="379"/>
      <c r="AN11" s="379"/>
      <c r="AO11" s="379"/>
      <c r="AP11" s="379"/>
      <c r="AQ11" s="379"/>
      <c r="AR11" s="379"/>
      <c r="AS11" s="379"/>
    </row>
    <row r="12" spans="1:45" s="378" customFormat="1" ht="18.75" customHeight="1">
      <c r="A12" s="308"/>
      <c r="B12" s="1689"/>
      <c r="C12" s="403"/>
      <c r="D12" s="404"/>
      <c r="E12" s="404"/>
      <c r="F12" s="404"/>
      <c r="G12" s="404"/>
      <c r="H12" s="404"/>
      <c r="I12" s="404"/>
      <c r="J12" s="404"/>
      <c r="K12" s="404"/>
      <c r="L12" s="404"/>
      <c r="M12" s="404"/>
      <c r="N12" s="404"/>
      <c r="O12" s="405"/>
      <c r="P12" s="409"/>
      <c r="Q12" s="410"/>
      <c r="R12" s="357" t="s">
        <v>875</v>
      </c>
      <c r="S12" s="358"/>
      <c r="T12" s="384"/>
      <c r="U12" s="384"/>
      <c r="V12" s="385"/>
      <c r="W12" s="358" t="s">
        <v>876</v>
      </c>
      <c r="X12" s="358"/>
      <c r="Y12" s="384"/>
      <c r="Z12" s="384"/>
      <c r="AA12" s="384"/>
      <c r="AB12" s="357" t="s">
        <v>1107</v>
      </c>
      <c r="AC12" s="770"/>
      <c r="AD12" s="770"/>
      <c r="AE12" s="770"/>
      <c r="AF12" s="770"/>
      <c r="AG12" s="1686" t="s">
        <v>1112</v>
      </c>
      <c r="AH12" s="772"/>
      <c r="AI12" s="618"/>
      <c r="AJ12" s="308"/>
      <c r="AK12" s="308"/>
      <c r="AL12" s="308"/>
      <c r="AM12" s="308"/>
      <c r="AN12" s="308"/>
      <c r="AO12" s="308"/>
      <c r="AP12" s="308"/>
      <c r="AQ12" s="308"/>
      <c r="AR12" s="308"/>
      <c r="AS12" s="308"/>
    </row>
    <row r="13" spans="1:45" s="354" customFormat="1" ht="30" customHeight="1">
      <c r="A13" s="352"/>
      <c r="B13" s="1690"/>
      <c r="C13" s="125" t="s">
        <v>612</v>
      </c>
      <c r="D13" s="125" t="s">
        <v>878</v>
      </c>
      <c r="E13" s="45" t="s">
        <v>637</v>
      </c>
      <c r="F13" s="45" t="s">
        <v>1104</v>
      </c>
      <c r="G13" s="314" t="s">
        <v>819</v>
      </c>
      <c r="H13" s="314" t="s">
        <v>824</v>
      </c>
      <c r="I13" s="45" t="s">
        <v>638</v>
      </c>
      <c r="J13" s="45" t="s">
        <v>639</v>
      </c>
      <c r="K13" s="125" t="s">
        <v>645</v>
      </c>
      <c r="L13" s="125" t="s">
        <v>635</v>
      </c>
      <c r="M13" s="125" t="s">
        <v>797</v>
      </c>
      <c r="N13" s="125" t="s">
        <v>636</v>
      </c>
      <c r="O13" s="125" t="s">
        <v>1106</v>
      </c>
      <c r="P13" s="131" t="s">
        <v>612</v>
      </c>
      <c r="Q13" s="131" t="s">
        <v>879</v>
      </c>
      <c r="R13" s="131" t="s">
        <v>637</v>
      </c>
      <c r="S13" s="131" t="s">
        <v>639</v>
      </c>
      <c r="T13" s="131" t="s">
        <v>641</v>
      </c>
      <c r="U13" s="131" t="s">
        <v>642</v>
      </c>
      <c r="V13" s="131" t="s">
        <v>1106</v>
      </c>
      <c r="W13" s="131" t="s">
        <v>1127</v>
      </c>
      <c r="X13" s="131" t="s">
        <v>646</v>
      </c>
      <c r="Y13" s="131" t="s">
        <v>874</v>
      </c>
      <c r="Z13" s="131" t="s">
        <v>650</v>
      </c>
      <c r="AA13" s="131" t="s">
        <v>1106</v>
      </c>
      <c r="AB13" s="131" t="s">
        <v>1127</v>
      </c>
      <c r="AC13" s="131" t="s">
        <v>874</v>
      </c>
      <c r="AD13" s="131" t="s">
        <v>1109</v>
      </c>
      <c r="AE13" s="131" t="s">
        <v>1105</v>
      </c>
      <c r="AF13" s="769" t="s">
        <v>1106</v>
      </c>
      <c r="AG13" s="1687"/>
      <c r="AH13" s="768" t="s">
        <v>228</v>
      </c>
      <c r="AI13" s="619" t="s">
        <v>872</v>
      </c>
      <c r="AJ13" s="352"/>
      <c r="AK13" s="352"/>
      <c r="AL13" s="352"/>
      <c r="AM13" s="352"/>
      <c r="AN13" s="352"/>
      <c r="AO13" s="352"/>
      <c r="AP13" s="352"/>
      <c r="AQ13" s="352"/>
      <c r="AR13" s="352"/>
      <c r="AS13" s="352"/>
    </row>
    <row r="14" spans="1:45" s="375" customFormat="1" ht="18.75" customHeight="1">
      <c r="A14" s="353"/>
      <c r="B14" s="364" t="s">
        <v>198</v>
      </c>
      <c r="C14" s="42" t="s">
        <v>45</v>
      </c>
      <c r="D14" s="42" t="s">
        <v>45</v>
      </c>
      <c r="E14" s="290" t="s">
        <v>108</v>
      </c>
      <c r="F14" s="290" t="s">
        <v>640</v>
      </c>
      <c r="G14" s="534" t="s">
        <v>821</v>
      </c>
      <c r="H14" s="534" t="s">
        <v>51</v>
      </c>
      <c r="I14" s="290" t="s">
        <v>109</v>
      </c>
      <c r="J14" s="290" t="s">
        <v>516</v>
      </c>
      <c r="K14" s="42" t="s">
        <v>6</v>
      </c>
      <c r="L14" s="290" t="s">
        <v>133</v>
      </c>
      <c r="M14" s="290" t="s">
        <v>798</v>
      </c>
      <c r="N14" s="290" t="s">
        <v>42</v>
      </c>
      <c r="O14" s="125" t="s">
        <v>374</v>
      </c>
      <c r="P14" s="87" t="s">
        <v>45</v>
      </c>
      <c r="Q14" s="87" t="s">
        <v>45</v>
      </c>
      <c r="R14" s="87" t="s">
        <v>108</v>
      </c>
      <c r="S14" s="87" t="s">
        <v>516</v>
      </c>
      <c r="T14" s="131" t="s">
        <v>6</v>
      </c>
      <c r="U14" s="131" t="s">
        <v>42</v>
      </c>
      <c r="V14" s="131" t="s">
        <v>374</v>
      </c>
      <c r="W14" s="87" t="s">
        <v>516</v>
      </c>
      <c r="X14" s="131" t="s">
        <v>647</v>
      </c>
      <c r="Y14" s="362" t="s">
        <v>649</v>
      </c>
      <c r="Z14" s="1296" t="s">
        <v>42</v>
      </c>
      <c r="AA14" s="131" t="s">
        <v>374</v>
      </c>
      <c r="AB14" s="87" t="s">
        <v>516</v>
      </c>
      <c r="AC14" s="362" t="s">
        <v>649</v>
      </c>
      <c r="AD14" s="362" t="s">
        <v>1110</v>
      </c>
      <c r="AE14" s="362" t="s">
        <v>42</v>
      </c>
      <c r="AF14" s="131" t="s">
        <v>374</v>
      </c>
      <c r="AG14" s="131" t="s">
        <v>374</v>
      </c>
      <c r="AH14" s="120" t="s">
        <v>374</v>
      </c>
      <c r="AI14" s="619" t="s">
        <v>873</v>
      </c>
      <c r="AJ14" s="353"/>
      <c r="AK14" s="353"/>
      <c r="AL14" s="353"/>
      <c r="AM14" s="353"/>
      <c r="AN14" s="353"/>
      <c r="AO14" s="353"/>
      <c r="AP14" s="353"/>
      <c r="AQ14" s="353"/>
      <c r="AR14" s="353"/>
      <c r="AS14" s="353"/>
    </row>
    <row r="15" spans="1:45" s="375" customFormat="1" ht="18.75" customHeight="1">
      <c r="A15" s="353"/>
      <c r="B15" s="44" t="s">
        <v>77</v>
      </c>
      <c r="C15" s="1285" t="s">
        <v>613</v>
      </c>
      <c r="D15" s="1297" t="s">
        <v>135</v>
      </c>
      <c r="E15" s="1298">
        <v>75</v>
      </c>
      <c r="F15" s="1298">
        <v>15</v>
      </c>
      <c r="G15" s="1298">
        <v>8</v>
      </c>
      <c r="H15" s="1299">
        <v>220</v>
      </c>
      <c r="I15" s="1300">
        <f>IFERROR(IF(G15*H15=0, "", G15*H15), "")</f>
        <v>1760</v>
      </c>
      <c r="J15" s="1301">
        <v>70</v>
      </c>
      <c r="K15" s="1292">
        <f>IFERROR(IF(COUNT(E15, I15, J15)&lt;3, "", E15*I15*J15/100), "")</f>
        <v>92400</v>
      </c>
      <c r="L15" s="1292">
        <f>IF(COUNT(F15, I15, J15)&lt;3, "", F15*I15*J15/100)</f>
        <v>18480</v>
      </c>
      <c r="M15" s="1302">
        <f>_xlfn.XLOOKUP(D15, 【共通】事業所の光熱費!$C$6:$C$13, 【共通】事業所の光熱費!$H$6:$H$13, "")</f>
        <v>0</v>
      </c>
      <c r="N15" s="1303">
        <f>IF(OR(L15="", M15=""), "", L15*M15)</f>
        <v>0</v>
      </c>
      <c r="O15" s="1304">
        <f>IFERROR(L15 * _xlfn.XLOOKUP(D15, '(参考)排出係数'!$B$3:$B$14, '(参考)排出係数'!$F$3:$F$14, 0), "")</f>
        <v>42873.599999999999</v>
      </c>
      <c r="P15" s="1285" t="str">
        <f>IF(C15="", "", C15)</f>
        <v>コンプレッサー1</v>
      </c>
      <c r="Q15" s="1297" t="s">
        <v>1108</v>
      </c>
      <c r="R15" s="1289"/>
      <c r="S15" s="945"/>
      <c r="T15" s="1292" t="str">
        <f>IF($Q15="電気式", IFERROR(IF(R15*I15*S15/100=0, "", R15*I15*S15/100), ""), "")</f>
        <v/>
      </c>
      <c r="U15" s="1293" t="str">
        <f>IF($Q15="電気式", IFERROR(IF(T15*【共通】事業所の光熱費!$H$6=0, "", T15*【共通】事業所の光熱費!$H$6), ""), "")</f>
        <v/>
      </c>
      <c r="V15" s="1304" t="str">
        <f>IF(Q15="電気式", IFERROR(IF(T15*'(参考)排出係数'!$F$3=0, "", T15*'(参考)排出係数'!$F$3), ""), "")</f>
        <v/>
      </c>
      <c r="W15" s="1301"/>
      <c r="X15" s="1292" t="str">
        <f t="shared" ref="X15" si="0">IF($Q15="ガス式", IF(K15="", "", K15*3.6*W15/100), "")</f>
        <v/>
      </c>
      <c r="Y15" s="1305" t="str" cm="1">
        <f t="array" ref="Y15">IFERROR(X15/(_xlfn.IFS(AND($P$10="都市ガス",$Q$10="13A"),$P$4,AND($P$10="都市ガス",$Q$10="12A"),$P$5,AND($P$10="液化石油ガス",$Q$10="LP"),$P$6)),"")</f>
        <v/>
      </c>
      <c r="Z15" s="1303" t="str" cm="1">
        <f t="array" ref="Z15">IFERROR(Y15 * _xlfn.IFS($P$10="都市ガス", 【共通】事業所の光熱費!$H$9, $P$10="液化石油ガス", 【共通】事業所の光熱費!$H$10), "")</f>
        <v/>
      </c>
      <c r="AA15" s="1302" t="str" cm="1">
        <f t="array" ref="AA15">IFERROR(Y15 * _xlfn.IFS($P$10="都市ガス", '(参考)排出係数'!$F$14, $P$10="液化石油ガス", '(参考)排出係数'!$F$12), "")</f>
        <v/>
      </c>
      <c r="AB15" s="1306">
        <v>80</v>
      </c>
      <c r="AC15" s="1302">
        <f>IF($Q15="その他燃料", N(L15)*N(AB15)/100, "")</f>
        <v>14784</v>
      </c>
      <c r="AD15" s="1303">
        <f>IF($Q15="その他燃料", N(M15), "")</f>
        <v>0</v>
      </c>
      <c r="AE15" s="1303">
        <f>IF(AND($Q15="その他燃料", AC15&lt;&gt;"", AD15&lt;&gt;""), AC15*AD15, "")</f>
        <v>0</v>
      </c>
      <c r="AF15" s="1302">
        <f>IF($Q15="その他燃料", IFERROR(AC15 * _xlfn.XLOOKUP(D15, '(参考)排出係数'!$B$3:$B$14, '(参考)排出係数'!$F$3:$F$14, 0), ""), "")</f>
        <v>34298.879999999997</v>
      </c>
      <c r="AG15" s="1302">
        <f>SUM(V15, AA15, AF15)</f>
        <v>34298.879999999997</v>
      </c>
      <c r="AH15" s="1304">
        <f>O15-AG15</f>
        <v>8574.7200000000012</v>
      </c>
      <c r="AI15" s="1293">
        <f>N15-SUM(U15,Z15,AE15)</f>
        <v>0</v>
      </c>
      <c r="AJ15" s="353"/>
      <c r="AK15" s="353"/>
      <c r="AL15" s="353"/>
      <c r="AM15" s="353"/>
      <c r="AN15" s="353"/>
      <c r="AO15" s="353"/>
      <c r="AP15" s="353"/>
      <c r="AQ15" s="353"/>
      <c r="AR15" s="353"/>
      <c r="AS15" s="353"/>
    </row>
    <row r="16" spans="1:45" s="375" customFormat="1" ht="18.75" customHeight="1" thickBot="1">
      <c r="A16" s="353"/>
      <c r="B16" s="946" t="s">
        <v>77</v>
      </c>
      <c r="C16" s="1286" t="s">
        <v>644</v>
      </c>
      <c r="D16" s="1196" t="s">
        <v>2</v>
      </c>
      <c r="E16" s="1307">
        <v>100</v>
      </c>
      <c r="F16" s="1307">
        <v>45</v>
      </c>
      <c r="G16" s="1307">
        <v>8</v>
      </c>
      <c r="H16" s="1308">
        <v>200</v>
      </c>
      <c r="I16" s="1223">
        <f>IFERROR(IF(G16*H16=0, "", G16*H16), "")</f>
        <v>1600</v>
      </c>
      <c r="J16" s="1309">
        <v>80</v>
      </c>
      <c r="K16" s="1218">
        <f>IFERROR(IF(COUNT(E16, I16, J16)&lt;3, "", E16*I16*J16/100), "")</f>
        <v>128000</v>
      </c>
      <c r="L16" s="1218">
        <f>IF(COUNT(F16, I16, J16)&lt;3, "", F16*I16*J16/100)</f>
        <v>57600</v>
      </c>
      <c r="M16" s="1310">
        <f>_xlfn.XLOOKUP(D16, 【共通】事業所の光熱費!$C$6:$C$13, 【共通】事業所の光熱費!$H$6:$H$13, "")</f>
        <v>0</v>
      </c>
      <c r="N16" s="1311">
        <f t="shared" ref="N16:N23" si="1">IF(OR(L16="", M16=""), "", L16*M16)</f>
        <v>0</v>
      </c>
      <c r="O16" s="1191">
        <f>IFERROR(L16 * _xlfn.XLOOKUP(D16, '(参考)排出係数'!$B$3:$B$14, '(参考)排出係数'!$F$3:$F$14, 0), "")</f>
        <v>156096</v>
      </c>
      <c r="P16" s="936" t="str">
        <f>IF(C16="", "", C16)</f>
        <v>乾燥炉1</v>
      </c>
      <c r="Q16" s="1196" t="s">
        <v>1108</v>
      </c>
      <c r="R16" s="1187"/>
      <c r="S16" s="947"/>
      <c r="T16" s="1218" t="str">
        <f>IF($Q16="電気式", IFERROR(IF(R16*I16*S16/100=0, "", R16*I16*S16/100), ""), "")</f>
        <v/>
      </c>
      <c r="U16" s="1224" t="str">
        <f>IF($Q16="電気式", IFERROR(IF(T16*【共通】事業所の光熱費!$H$6=0, "", T16*【共通】事業所の光熱費!$H$6), ""), "")</f>
        <v/>
      </c>
      <c r="V16" s="1191" t="str">
        <f>IF(Q16="電気式", IFERROR(IF(T16*'(参考)排出係数'!$F$3=0, "", T16*'(参考)排出係数'!$F$3), ""), "")</f>
        <v/>
      </c>
      <c r="W16" s="1312"/>
      <c r="X16" s="1218" t="str">
        <f t="shared" ref="X16" si="2">IF($Q16="ガス式", IF(K16="", "", K16*3.6*W16/100), "")</f>
        <v/>
      </c>
      <c r="Y16" s="1313" t="str" cm="1">
        <f t="array" ref="Y16">IFERROR(X16/(_xlfn.IFS(AND($P$10="都市ガス",$Q$10="13A"),$P$4,AND($P$10="都市ガス",$Q$10="12A"),$P$5,AND($P$10="液化石油ガス",$Q$10="LP"),$P$6)),"")</f>
        <v/>
      </c>
      <c r="Z16" s="1311" t="str" cm="1">
        <f t="array" ref="Z16">IFERROR(Y16 * _xlfn.IFS($P$10="都市ガス", 【共通】事業所の光熱費!$H$9, $P$10="液化石油ガス", 【共通】事業所の光熱費!$H$10), "")</f>
        <v/>
      </c>
      <c r="AA16" s="1310" t="str" cm="1">
        <f t="array" ref="AA16">IFERROR(Y16 * _xlfn.IFS($P$10="都市ガス", '(参考)排出係数'!$F$14, $P$10="液化石油ガス", '(参考)排出係数'!$F$12), "")</f>
        <v/>
      </c>
      <c r="AB16" s="1314">
        <v>70</v>
      </c>
      <c r="AC16" s="1310">
        <f>IF($Q16="その他燃料", N(L16)*N(AB16)/100, "")</f>
        <v>40320</v>
      </c>
      <c r="AD16" s="1311">
        <f>IF($Q16="その他燃料", N(M16), "")</f>
        <v>0</v>
      </c>
      <c r="AE16" s="1311">
        <f>IF(AND($Q16="その他燃料", AC16&lt;&gt;"", AD16&lt;&gt;""), AC16*AD16, "")</f>
        <v>0</v>
      </c>
      <c r="AF16" s="1310">
        <f>IF($Q16="その他燃料", IFERROR(AC16 * _xlfn.XLOOKUP(D16, '(参考)排出係数'!$B$3:$B$14, '(参考)排出係数'!$F$3:$F$14, 0), ""), "")</f>
        <v>109267.2</v>
      </c>
      <c r="AG16" s="1310">
        <f>SUM(V16, AA16, AF16)</f>
        <v>109267.2</v>
      </c>
      <c r="AH16" s="1191">
        <f>O16-AG16</f>
        <v>46828.800000000003</v>
      </c>
      <c r="AI16" s="1224">
        <f>N16-SUM(U16,Z16,AE16)</f>
        <v>0</v>
      </c>
      <c r="AJ16" s="353"/>
      <c r="AK16" s="353"/>
      <c r="AL16" s="353"/>
      <c r="AM16" s="353"/>
      <c r="AN16" s="353"/>
      <c r="AO16" s="353"/>
      <c r="AP16" s="353"/>
      <c r="AQ16" s="353"/>
      <c r="AR16" s="353"/>
      <c r="AS16" s="353"/>
    </row>
    <row r="17" spans="1:45" s="504" customFormat="1" ht="18.75" customHeight="1" thickTop="1" thickBot="1">
      <c r="A17" s="496"/>
      <c r="B17" s="949" t="s">
        <v>224</v>
      </c>
      <c r="C17" s="1315"/>
      <c r="D17" s="1315"/>
      <c r="E17" s="1316"/>
      <c r="F17" s="1316"/>
      <c r="G17" s="1316"/>
      <c r="H17" s="1317"/>
      <c r="I17" s="1317"/>
      <c r="J17" s="956"/>
      <c r="K17" s="1316"/>
      <c r="L17" s="1318">
        <f>SUM(L18:L27)</f>
        <v>0</v>
      </c>
      <c r="M17" s="956"/>
      <c r="N17" s="1319">
        <f>SUM(N18:N27)</f>
        <v>0</v>
      </c>
      <c r="O17" s="1318">
        <f>SUM(O18:O27)</f>
        <v>0</v>
      </c>
      <c r="P17" s="1315"/>
      <c r="Q17" s="1315"/>
      <c r="R17" s="1316"/>
      <c r="S17" s="1320"/>
      <c r="T17" s="1318">
        <f>SUM(T18:T27)</f>
        <v>0</v>
      </c>
      <c r="U17" s="1319">
        <f>SUM(U18:U27)</f>
        <v>0</v>
      </c>
      <c r="V17" s="1318">
        <f>SUM(V18:V27)</f>
        <v>0</v>
      </c>
      <c r="W17" s="1321"/>
      <c r="X17" s="1318">
        <f>SUM(X18:X27)</f>
        <v>0</v>
      </c>
      <c r="Y17" s="1318">
        <f>SUM(Y18:Y27)</f>
        <v>0</v>
      </c>
      <c r="Z17" s="1319">
        <f>SUM(Z18:Z27)</f>
        <v>0</v>
      </c>
      <c r="AA17" s="1318">
        <f>SUM(AA18:AA27)</f>
        <v>0</v>
      </c>
      <c r="AB17" s="1322"/>
      <c r="AC17" s="1318">
        <f>SUM(AC18:AC27)</f>
        <v>0</v>
      </c>
      <c r="AD17" s="1319">
        <f t="shared" ref="AD17:AF17" si="3">SUM(AD18:AD27)</f>
        <v>0</v>
      </c>
      <c r="AE17" s="1319">
        <f t="shared" si="3"/>
        <v>0</v>
      </c>
      <c r="AF17" s="1318">
        <f t="shared" si="3"/>
        <v>0</v>
      </c>
      <c r="AG17" s="1318">
        <f>SUM(AG18:AG27)</f>
        <v>0</v>
      </c>
      <c r="AH17" s="1318">
        <f>SUM(AH18:AH27)</f>
        <v>0</v>
      </c>
      <c r="AI17" s="1323">
        <f>IFERROR(N17-(U17+Z17+AE17),"")</f>
        <v>0</v>
      </c>
      <c r="AJ17" s="496"/>
      <c r="AK17" s="496"/>
      <c r="AL17" s="496"/>
      <c r="AM17" s="496"/>
      <c r="AN17" s="496"/>
      <c r="AO17" s="496"/>
      <c r="AP17" s="496"/>
      <c r="AQ17" s="496"/>
      <c r="AR17" s="496"/>
      <c r="AS17" s="496"/>
    </row>
    <row r="18" spans="1:45" s="504" customFormat="1" ht="18.75" customHeight="1" thickTop="1">
      <c r="A18" s="496"/>
      <c r="B18" s="930" t="s">
        <v>315</v>
      </c>
      <c r="C18" s="1144"/>
      <c r="D18" s="1324"/>
      <c r="E18" s="1134"/>
      <c r="F18" s="1134"/>
      <c r="G18" s="1134"/>
      <c r="H18" s="1226"/>
      <c r="I18" s="1325" t="str">
        <f t="shared" ref="I18:I27" si="4">IFERROR(IF(G18*H18=0, "", G18*H18), "")</f>
        <v/>
      </c>
      <c r="J18" s="1326"/>
      <c r="K18" s="1219" t="str">
        <f t="shared" ref="K18:K27" si="5">IFERROR(IF(COUNT(E18, I18, J18)&lt;3, "", E18*I18*J18/100), "")</f>
        <v/>
      </c>
      <c r="L18" s="1219" t="str">
        <f>IF(COUNT(F18, I18, J18)&lt;3, "", F18*I18*J18/100)</f>
        <v/>
      </c>
      <c r="M18" s="1171" t="str">
        <f>_xlfn.XLOOKUP(D18, 【共通】事業所の光熱費!$C$6:$C$13, 【共通】事業所の光熱費!$H$6:$H$13, "")</f>
        <v/>
      </c>
      <c r="N18" s="1327" t="str">
        <f t="shared" si="1"/>
        <v/>
      </c>
      <c r="O18" s="1193" t="str">
        <f>IFERROR(L18 * _xlfn.XLOOKUP(D18, '(参考)排出係数'!$B$3:$B$14, '(参考)排出係数'!$F$3:$F$14, 0), "")</f>
        <v/>
      </c>
      <c r="P18" s="1287"/>
      <c r="Q18" s="1324"/>
      <c r="R18" s="1290"/>
      <c r="S18" s="955"/>
      <c r="T18" s="1219" t="str">
        <f t="shared" ref="T18:T27" si="6">IF($Q18="電気式", IFERROR(IF(R18*I18*S18/100=0, "", R18*I18*S18/100), ""), "")</f>
        <v/>
      </c>
      <c r="U18" s="1294" t="str">
        <f>IF($Q18="電気式", IFERROR(IF(T18*【共通】事業所の光熱費!$H$6=0, "", T18*【共通】事業所の光熱費!$H$6), ""), "")</f>
        <v/>
      </c>
      <c r="V18" s="1193" t="str">
        <f>IF(Q18="電気式", IFERROR(IF(T18*'(参考)排出係数'!$F$3=0, "", T18*'(参考)排出係数'!$F$3), ""), "")</f>
        <v/>
      </c>
      <c r="W18" s="1328"/>
      <c r="X18" s="1219" t="str">
        <f t="shared" ref="X18:X27" si="7">IF($Q18="ガス式", IF(K18="", "", K18*3.6*W18/100), "")</f>
        <v/>
      </c>
      <c r="Y18" s="1329" t="str" cm="1">
        <f t="array" ref="Y18">IFERROR(X18/(_xlfn.IFS(AND($P$10="都市ガス",$Q$10="13A"),$P$4,AND($P$10="都市ガス",$Q$10="12A"),$P$5,AND($P$10="液化石油ガス",$Q$10="LP"),$P$6)),"")</f>
        <v/>
      </c>
      <c r="Z18" s="1327" t="str" cm="1">
        <f t="array" ref="Z18">IFERROR(Y18 * _xlfn.IFS($P$10="都市ガス", 【共通】事業所の光熱費!$H$9, $P$10="液化石油ガス", 【共通】事業所の光熱費!$H$10), "")</f>
        <v/>
      </c>
      <c r="AA18" s="1171" t="str" cm="1">
        <f t="array" ref="AA18">IFERROR(Y18 * _xlfn.IFS($P$10="都市ガス", '(参考)排出係数'!$F$14, $P$10="液化石油ガス", '(参考)排出係数'!$F$12), "")</f>
        <v/>
      </c>
      <c r="AB18" s="1330"/>
      <c r="AC18" s="1171" t="str">
        <f t="shared" ref="AC18:AC27" si="8">IF($Q18="その他燃料", N(L18)*N(AB18)/100, "")</f>
        <v/>
      </c>
      <c r="AD18" s="1327" t="str">
        <f t="shared" ref="AD18:AD27" si="9">IF($Q18="その他燃料", N(M18), "")</f>
        <v/>
      </c>
      <c r="AE18" s="1327" t="str">
        <f t="shared" ref="AE18:AE27" si="10">IF(AND($Q18="その他燃料", AC18&lt;&gt;"", AD18&lt;&gt;""), AC18*AD18, "")</f>
        <v/>
      </c>
      <c r="AF18" s="1171" t="str">
        <f>IF($Q18="その他燃料", IFERROR(AC18 * _xlfn.XLOOKUP(D18, '(参考)排出係数'!$B$3:$B$14, '(参考)排出係数'!$F$3:$F$14, 0), ""), "")</f>
        <v/>
      </c>
      <c r="AG18" s="1171">
        <f t="shared" ref="AG18:AG27" si="11">SUM(V18, AA18, AF18)</f>
        <v>0</v>
      </c>
      <c r="AH18" s="1193">
        <f>N(O18) - N(AG18)</f>
        <v>0</v>
      </c>
      <c r="AI18" s="1402" t="str">
        <f>IFERROR(N18-SUM(U18,Z18,AE18),"")</f>
        <v/>
      </c>
      <c r="AJ18" s="496"/>
      <c r="AK18" s="496"/>
      <c r="AL18" s="496"/>
      <c r="AM18" s="496"/>
      <c r="AN18" s="496"/>
      <c r="AO18" s="496"/>
      <c r="AP18" s="496"/>
      <c r="AQ18" s="496"/>
      <c r="AR18" s="496"/>
      <c r="AS18" s="496"/>
    </row>
    <row r="19" spans="1:45" s="354" customFormat="1" ht="18.75" customHeight="1">
      <c r="A19" s="352"/>
      <c r="B19" s="371" t="s">
        <v>316</v>
      </c>
      <c r="C19" s="1145"/>
      <c r="D19" s="1331"/>
      <c r="E19" s="1135"/>
      <c r="F19" s="1135"/>
      <c r="G19" s="1135"/>
      <c r="H19" s="1228"/>
      <c r="I19" s="1332" t="str">
        <f t="shared" si="4"/>
        <v/>
      </c>
      <c r="J19" s="1333"/>
      <c r="K19" s="1220" t="str">
        <f t="shared" si="5"/>
        <v/>
      </c>
      <c r="L19" s="1220" t="str">
        <f t="shared" ref="L19:L27" si="12">IF(COUNT(F19, I19, J19)&lt;3, "", F19*I19*J19/100)</f>
        <v/>
      </c>
      <c r="M19" s="873" t="str">
        <f>_xlfn.XLOOKUP(D19, 【共通】事業所の光熱費!$C$6:$C$13, 【共通】事業所の光熱費!$H$6:$H$13, "")</f>
        <v/>
      </c>
      <c r="N19" s="874" t="str">
        <f t="shared" si="1"/>
        <v/>
      </c>
      <c r="O19" s="1194" t="str">
        <f>IFERROR(L19 * _xlfn.XLOOKUP(D19, '(参考)排出係数'!$B$3:$B$14, '(参考)排出係数'!$F$3:$F$14, 0), "")</f>
        <v/>
      </c>
      <c r="P19" s="1288"/>
      <c r="Q19" s="1331"/>
      <c r="R19" s="1291"/>
      <c r="S19" s="586"/>
      <c r="T19" s="1220" t="str">
        <f t="shared" si="6"/>
        <v/>
      </c>
      <c r="U19" s="1295" t="str">
        <f>IF($Q19="電気式", IFERROR(IF(T19*【共通】事業所の光熱費!$H$6=0, "", T19*【共通】事業所の光熱費!$H$6), ""), "")</f>
        <v/>
      </c>
      <c r="V19" s="1194" t="str">
        <f>IF(Q19="電気式", IFERROR(IF(T19*'(参考)排出係数'!$F$3=0, "", T19*'(参考)排出係数'!$F$3), ""), "")</f>
        <v/>
      </c>
      <c r="W19" s="869"/>
      <c r="X19" s="1220" t="str">
        <f t="shared" si="7"/>
        <v/>
      </c>
      <c r="Y19" s="1334" t="str" cm="1">
        <f t="array" ref="Y19">IFERROR(X19/(_xlfn.IFS(AND($P$10="都市ガス",$Q$10="13A"),$P$4,AND($P$10="都市ガス",$Q$10="12A"),$P$5,AND($P$10="液化石油ガス",$Q$10="LP"),$P$6)),"")</f>
        <v/>
      </c>
      <c r="Z19" s="874" t="str" cm="1">
        <f t="array" ref="Z19">IFERROR(Y19 * _xlfn.IFS($P$10="都市ガス", 【共通】事業所の光熱費!$H$9, $P$10="液化石油ガス", 【共通】事業所の光熱費!$H$10), "")</f>
        <v/>
      </c>
      <c r="AA19" s="873" t="str" cm="1">
        <f t="array" ref="AA19">IFERROR(Y19 * _xlfn.IFS($P$10="都市ガス", '(参考)排出係数'!$F$14, $P$10="液化石油ガス", '(参考)排出係数'!$F$12), "")</f>
        <v/>
      </c>
      <c r="AB19" s="879"/>
      <c r="AC19" s="873" t="str">
        <f t="shared" si="8"/>
        <v/>
      </c>
      <c r="AD19" s="874" t="str">
        <f t="shared" si="9"/>
        <v/>
      </c>
      <c r="AE19" s="874" t="str">
        <f t="shared" si="10"/>
        <v/>
      </c>
      <c r="AF19" s="873" t="str">
        <f>IF($Q19="その他燃料", IFERROR(AC19 * _xlfn.XLOOKUP(D19, '(参考)排出係数'!$B$3:$B$14, '(参考)排出係数'!$F$3:$F$14, 0), ""), "")</f>
        <v/>
      </c>
      <c r="AG19" s="873">
        <f t="shared" si="11"/>
        <v>0</v>
      </c>
      <c r="AH19" s="1194">
        <f t="shared" ref="AH19:AH27" si="13">N(O19) - N(AG19)</f>
        <v>0</v>
      </c>
      <c r="AI19" s="1402" t="str">
        <f t="shared" ref="AI19:AI27" si="14">IFERROR(N19-SUM(U19,Z19,AE19),"")</f>
        <v/>
      </c>
      <c r="AJ19" s="352"/>
      <c r="AK19" s="352"/>
      <c r="AL19" s="352"/>
      <c r="AM19" s="352"/>
      <c r="AN19" s="352"/>
      <c r="AO19" s="352"/>
      <c r="AP19" s="352"/>
      <c r="AQ19" s="352"/>
      <c r="AR19" s="352"/>
      <c r="AS19" s="352"/>
    </row>
    <row r="20" spans="1:45" s="354" customFormat="1" ht="18.75" customHeight="1">
      <c r="A20" s="352"/>
      <c r="B20" s="371" t="s">
        <v>317</v>
      </c>
      <c r="C20" s="1145"/>
      <c r="D20" s="1331"/>
      <c r="E20" s="1135"/>
      <c r="F20" s="1135"/>
      <c r="G20" s="1135"/>
      <c r="H20" s="1228"/>
      <c r="I20" s="1332" t="str">
        <f t="shared" si="4"/>
        <v/>
      </c>
      <c r="J20" s="1333"/>
      <c r="K20" s="1220" t="str">
        <f t="shared" si="5"/>
        <v/>
      </c>
      <c r="L20" s="1220" t="str">
        <f t="shared" si="12"/>
        <v/>
      </c>
      <c r="M20" s="873" t="str">
        <f>_xlfn.XLOOKUP(D20, 【共通】事業所の光熱費!$C$6:$C$13, 【共通】事業所の光熱費!$H$6:$H$13, "")</f>
        <v/>
      </c>
      <c r="N20" s="874" t="str">
        <f t="shared" si="1"/>
        <v/>
      </c>
      <c r="O20" s="1194" t="str">
        <f>IFERROR(L20 * _xlfn.XLOOKUP(D20, '(参考)排出係数'!$B$3:$B$14, '(参考)排出係数'!$F$3:$F$14, 0), "")</f>
        <v/>
      </c>
      <c r="P20" s="1288" t="str">
        <f t="shared" ref="P20:P27" si="15">IF(C20="", "", C20)</f>
        <v/>
      </c>
      <c r="Q20" s="1331"/>
      <c r="R20" s="1291"/>
      <c r="S20" s="586"/>
      <c r="T20" s="1220" t="str">
        <f t="shared" si="6"/>
        <v/>
      </c>
      <c r="U20" s="1295" t="str">
        <f>IF($Q20="電気式", IFERROR(IF(T20*【共通】事業所の光熱費!$H$6=0, "", T20*【共通】事業所の光熱費!$H$6), ""), "")</f>
        <v/>
      </c>
      <c r="V20" s="1194" t="str">
        <f>IF(Q20="電気式", IFERROR(IF(T20*'(参考)排出係数'!$F$3=0, "", T20*'(参考)排出係数'!$F$3), ""), "")</f>
        <v/>
      </c>
      <c r="W20" s="869"/>
      <c r="X20" s="1220" t="str">
        <f t="shared" si="7"/>
        <v/>
      </c>
      <c r="Y20" s="1334" t="str" cm="1">
        <f t="array" ref="Y20">IFERROR(X20/(_xlfn.IFS(AND($P$10="都市ガス",$Q$10="13A"),$P$4,AND($P$10="都市ガス",$Q$10="12A"),$P$5,AND($P$10="液化石油ガス",$Q$10="LP"),$P$6)),"")</f>
        <v/>
      </c>
      <c r="Z20" s="874" t="str" cm="1">
        <f t="array" ref="Z20">IFERROR(Y20 * _xlfn.IFS($P$10="都市ガス", 【共通】事業所の光熱費!$H$9, $P$10="液化石油ガス", 【共通】事業所の光熱費!$H$10), "")</f>
        <v/>
      </c>
      <c r="AA20" s="873" t="str" cm="1">
        <f t="array" ref="AA20">IFERROR(Y20 * _xlfn.IFS($P$10="都市ガス", '(参考)排出係数'!$F$14, $P$10="液化石油ガス", '(参考)排出係数'!$F$12), "")</f>
        <v/>
      </c>
      <c r="AB20" s="879"/>
      <c r="AC20" s="873" t="str">
        <f t="shared" si="8"/>
        <v/>
      </c>
      <c r="AD20" s="874" t="str">
        <f t="shared" si="9"/>
        <v/>
      </c>
      <c r="AE20" s="874" t="str">
        <f t="shared" si="10"/>
        <v/>
      </c>
      <c r="AF20" s="873" t="str">
        <f>IF($Q20="その他燃料", IFERROR(AC20 * _xlfn.XLOOKUP(D20, '(参考)排出係数'!$B$3:$B$14, '(参考)排出係数'!$F$3:$F$14, 0), ""), "")</f>
        <v/>
      </c>
      <c r="AG20" s="873">
        <f t="shared" si="11"/>
        <v>0</v>
      </c>
      <c r="AH20" s="1194">
        <f t="shared" si="13"/>
        <v>0</v>
      </c>
      <c r="AI20" s="1402" t="str">
        <f t="shared" si="14"/>
        <v/>
      </c>
      <c r="AJ20" s="352"/>
      <c r="AK20" s="352"/>
      <c r="AL20" s="352"/>
      <c r="AM20" s="352"/>
      <c r="AN20" s="352"/>
      <c r="AO20" s="352"/>
      <c r="AP20" s="352"/>
      <c r="AQ20" s="352"/>
      <c r="AR20" s="352"/>
      <c r="AS20" s="352"/>
    </row>
    <row r="21" spans="1:45" s="354" customFormat="1" ht="18.75" customHeight="1">
      <c r="A21" s="352"/>
      <c r="B21" s="371" t="s">
        <v>318</v>
      </c>
      <c r="C21" s="1145"/>
      <c r="D21" s="1331"/>
      <c r="E21" s="1135"/>
      <c r="F21" s="1135"/>
      <c r="G21" s="1135"/>
      <c r="H21" s="1228"/>
      <c r="I21" s="1332" t="str">
        <f t="shared" si="4"/>
        <v/>
      </c>
      <c r="J21" s="1333"/>
      <c r="K21" s="1220" t="str">
        <f t="shared" si="5"/>
        <v/>
      </c>
      <c r="L21" s="1220" t="str">
        <f t="shared" si="12"/>
        <v/>
      </c>
      <c r="M21" s="873" t="str">
        <f>_xlfn.XLOOKUP(D21, 【共通】事業所の光熱費!$C$6:$C$13, 【共通】事業所の光熱費!$H$6:$H$13, "")</f>
        <v/>
      </c>
      <c r="N21" s="874" t="str">
        <f t="shared" si="1"/>
        <v/>
      </c>
      <c r="O21" s="1194" t="str">
        <f>IFERROR(L21 * _xlfn.XLOOKUP(D21, '(参考)排出係数'!$B$3:$B$14, '(参考)排出係数'!$F$3:$F$14, 0), "")</f>
        <v/>
      </c>
      <c r="P21" s="1288" t="str">
        <f t="shared" si="15"/>
        <v/>
      </c>
      <c r="Q21" s="1331"/>
      <c r="R21" s="1291"/>
      <c r="S21" s="586"/>
      <c r="T21" s="1220" t="str">
        <f t="shared" si="6"/>
        <v/>
      </c>
      <c r="U21" s="1295" t="str">
        <f>IF($Q21="電気式", IFERROR(IF(T21*【共通】事業所の光熱費!$H$6=0, "", T21*【共通】事業所の光熱費!$H$6), ""), "")</f>
        <v/>
      </c>
      <c r="V21" s="1194" t="str">
        <f>IF(Q21="電気式", IFERROR(IF(T21*'(参考)排出係数'!$F$3=0, "", T21*'(参考)排出係数'!$F$3), ""), "")</f>
        <v/>
      </c>
      <c r="W21" s="869"/>
      <c r="X21" s="1220" t="str">
        <f t="shared" si="7"/>
        <v/>
      </c>
      <c r="Y21" s="1334" t="str" cm="1">
        <f t="array" ref="Y21">IFERROR(X21/(_xlfn.IFS(AND($P$10="都市ガス",$Q$10="13A"),$P$4,AND($P$10="都市ガス",$Q$10="12A"),$P$5,AND($P$10="液化石油ガス",$Q$10="LP"),$P$6)),"")</f>
        <v/>
      </c>
      <c r="Z21" s="874" t="str" cm="1">
        <f t="array" ref="Z21">IFERROR(Y21 * _xlfn.IFS($P$10="都市ガス", 【共通】事業所の光熱費!$H$9, $P$10="液化石油ガス", 【共通】事業所の光熱費!$H$10), "")</f>
        <v/>
      </c>
      <c r="AA21" s="873" t="str" cm="1">
        <f t="array" ref="AA21">IFERROR(Y21 * _xlfn.IFS($P$10="都市ガス", '(参考)排出係数'!$F$14, $P$10="液化石油ガス", '(参考)排出係数'!$F$12), "")</f>
        <v/>
      </c>
      <c r="AB21" s="879"/>
      <c r="AC21" s="873" t="str">
        <f t="shared" si="8"/>
        <v/>
      </c>
      <c r="AD21" s="874" t="str">
        <f t="shared" si="9"/>
        <v/>
      </c>
      <c r="AE21" s="874" t="str">
        <f t="shared" si="10"/>
        <v/>
      </c>
      <c r="AF21" s="873" t="str">
        <f>IF($Q21="その他燃料", IFERROR(AC21 * _xlfn.XLOOKUP(D21, '(参考)排出係数'!$B$3:$B$14, '(参考)排出係数'!$F$3:$F$14, 0), ""), "")</f>
        <v/>
      </c>
      <c r="AG21" s="873">
        <f t="shared" si="11"/>
        <v>0</v>
      </c>
      <c r="AH21" s="1194">
        <f t="shared" si="13"/>
        <v>0</v>
      </c>
      <c r="AI21" s="1402" t="str">
        <f t="shared" si="14"/>
        <v/>
      </c>
      <c r="AJ21" s="352"/>
      <c r="AK21" s="352"/>
      <c r="AL21" s="352"/>
      <c r="AM21" s="352"/>
      <c r="AN21" s="352"/>
      <c r="AO21" s="352"/>
      <c r="AP21" s="352"/>
      <c r="AQ21" s="352"/>
      <c r="AR21" s="352"/>
      <c r="AS21" s="352"/>
    </row>
    <row r="22" spans="1:45" s="354" customFormat="1" ht="18.75" customHeight="1">
      <c r="A22" s="352"/>
      <c r="B22" s="371" t="s">
        <v>319</v>
      </c>
      <c r="C22" s="1145"/>
      <c r="D22" s="1331"/>
      <c r="E22" s="1135"/>
      <c r="F22" s="1135"/>
      <c r="G22" s="1135"/>
      <c r="H22" s="1228"/>
      <c r="I22" s="1332" t="str">
        <f t="shared" si="4"/>
        <v/>
      </c>
      <c r="J22" s="1333"/>
      <c r="K22" s="1220" t="str">
        <f t="shared" si="5"/>
        <v/>
      </c>
      <c r="L22" s="1220" t="str">
        <f t="shared" si="12"/>
        <v/>
      </c>
      <c r="M22" s="873" t="str">
        <f>_xlfn.XLOOKUP(D22, 【共通】事業所の光熱費!$C$6:$C$13, 【共通】事業所の光熱費!$H$6:$H$13, "")</f>
        <v/>
      </c>
      <c r="N22" s="874" t="str">
        <f t="shared" si="1"/>
        <v/>
      </c>
      <c r="O22" s="1194" t="str">
        <f>IFERROR(L22 * _xlfn.XLOOKUP(D22, '(参考)排出係数'!$B$3:$B$14, '(参考)排出係数'!$F$3:$F$14, 0), "")</f>
        <v/>
      </c>
      <c r="P22" s="1288" t="str">
        <f t="shared" si="15"/>
        <v/>
      </c>
      <c r="Q22" s="1331"/>
      <c r="R22" s="1291"/>
      <c r="S22" s="586"/>
      <c r="T22" s="1220" t="str">
        <f t="shared" si="6"/>
        <v/>
      </c>
      <c r="U22" s="1295" t="str">
        <f>IF($Q22="電気式", IFERROR(IF(T22*【共通】事業所の光熱費!$H$6=0, "", T22*【共通】事業所の光熱費!$H$6), ""), "")</f>
        <v/>
      </c>
      <c r="V22" s="1194" t="str">
        <f>IF(Q22="電気式", IFERROR(IF(T22*'(参考)排出係数'!$F$3=0, "", T22*'(参考)排出係数'!$F$3), ""), "")</f>
        <v/>
      </c>
      <c r="W22" s="869"/>
      <c r="X22" s="1220" t="str">
        <f t="shared" si="7"/>
        <v/>
      </c>
      <c r="Y22" s="1334" t="str" cm="1">
        <f t="array" ref="Y22">IFERROR(X22/(_xlfn.IFS(AND($P$10="都市ガス",$Q$10="13A"),$P$4,AND($P$10="都市ガス",$Q$10="12A"),$P$5,AND($P$10="液化石油ガス",$Q$10="LP"),$P$6)),"")</f>
        <v/>
      </c>
      <c r="Z22" s="874" t="str" cm="1">
        <f t="array" ref="Z22">IFERROR(Y22 * _xlfn.IFS($P$10="都市ガス", 【共通】事業所の光熱費!$H$9, $P$10="液化石油ガス", 【共通】事業所の光熱費!$H$10), "")</f>
        <v/>
      </c>
      <c r="AA22" s="873" t="str" cm="1">
        <f t="array" ref="AA22">IFERROR(Y22 * _xlfn.IFS($P$10="都市ガス", '(参考)排出係数'!$F$14, $P$10="液化石油ガス", '(参考)排出係数'!$F$12), "")</f>
        <v/>
      </c>
      <c r="AB22" s="879"/>
      <c r="AC22" s="873" t="str">
        <f t="shared" si="8"/>
        <v/>
      </c>
      <c r="AD22" s="874" t="str">
        <f t="shared" si="9"/>
        <v/>
      </c>
      <c r="AE22" s="874" t="str">
        <f t="shared" si="10"/>
        <v/>
      </c>
      <c r="AF22" s="873" t="str">
        <f>IF($Q22="その他燃料", IFERROR(AC22 * _xlfn.XLOOKUP(D22, '(参考)排出係数'!$B$3:$B$14, '(参考)排出係数'!$F$3:$F$14, 0), ""), "")</f>
        <v/>
      </c>
      <c r="AG22" s="873">
        <f t="shared" si="11"/>
        <v>0</v>
      </c>
      <c r="AH22" s="1194">
        <f t="shared" si="13"/>
        <v>0</v>
      </c>
      <c r="AI22" s="1402" t="str">
        <f t="shared" si="14"/>
        <v/>
      </c>
      <c r="AJ22" s="352"/>
      <c r="AK22" s="352"/>
      <c r="AL22" s="352"/>
      <c r="AM22" s="352"/>
      <c r="AN22" s="352"/>
      <c r="AO22" s="352"/>
      <c r="AP22" s="352"/>
      <c r="AQ22" s="352"/>
      <c r="AR22" s="352"/>
      <c r="AS22" s="352"/>
    </row>
    <row r="23" spans="1:45" s="354" customFormat="1" ht="18.75" customHeight="1">
      <c r="A23" s="352"/>
      <c r="B23" s="371" t="s">
        <v>320</v>
      </c>
      <c r="C23" s="1145"/>
      <c r="D23" s="1331"/>
      <c r="E23" s="1135"/>
      <c r="F23" s="1135"/>
      <c r="G23" s="1135"/>
      <c r="H23" s="1228"/>
      <c r="I23" s="1332" t="str">
        <f t="shared" si="4"/>
        <v/>
      </c>
      <c r="J23" s="1333"/>
      <c r="K23" s="1220" t="str">
        <f t="shared" si="5"/>
        <v/>
      </c>
      <c r="L23" s="1220" t="str">
        <f t="shared" si="12"/>
        <v/>
      </c>
      <c r="M23" s="873" t="str">
        <f>_xlfn.XLOOKUP(D23, 【共通】事業所の光熱費!$C$6:$C$13, 【共通】事業所の光熱費!$H$6:$H$13, "")</f>
        <v/>
      </c>
      <c r="N23" s="874" t="str">
        <f t="shared" si="1"/>
        <v/>
      </c>
      <c r="O23" s="1194" t="str">
        <f>IFERROR(L23 * _xlfn.XLOOKUP(D23, '(参考)排出係数'!$B$3:$B$14, '(参考)排出係数'!$F$3:$F$14, 0), "")</f>
        <v/>
      </c>
      <c r="P23" s="1288" t="str">
        <f t="shared" si="15"/>
        <v/>
      </c>
      <c r="Q23" s="1331"/>
      <c r="R23" s="1291"/>
      <c r="S23" s="586"/>
      <c r="T23" s="1220" t="str">
        <f t="shared" si="6"/>
        <v/>
      </c>
      <c r="U23" s="1295" t="str">
        <f>IF($Q23="電気式", IFERROR(IF(T23*【共通】事業所の光熱費!$H$6=0, "", T23*【共通】事業所の光熱費!$H$6), ""), "")</f>
        <v/>
      </c>
      <c r="V23" s="1194" t="str">
        <f>IF(Q23="電気式", IFERROR(IF(T23*'(参考)排出係数'!$F$3=0, "", T23*'(参考)排出係数'!$F$3), ""), "")</f>
        <v/>
      </c>
      <c r="W23" s="869"/>
      <c r="X23" s="1220" t="str">
        <f t="shared" si="7"/>
        <v/>
      </c>
      <c r="Y23" s="1334" t="str" cm="1">
        <f t="array" ref="Y23">IFERROR(X23/(_xlfn.IFS(AND($P$10="都市ガス",$Q$10="13A"),$P$4,AND($P$10="都市ガス",$Q$10="12A"),$P$5,AND($P$10="液化石油ガス",$Q$10="LP"),$P$6)),"")</f>
        <v/>
      </c>
      <c r="Z23" s="874" t="str" cm="1">
        <f t="array" ref="Z23">IFERROR(Y23 * _xlfn.IFS($P$10="都市ガス", 【共通】事業所の光熱費!$H$9, $P$10="液化石油ガス", 【共通】事業所の光熱費!$H$10), "")</f>
        <v/>
      </c>
      <c r="AA23" s="873" t="str" cm="1">
        <f t="array" ref="AA23">IFERROR(Y23 * _xlfn.IFS($P$10="都市ガス", '(参考)排出係数'!$F$14, $P$10="液化石油ガス", '(参考)排出係数'!$F$12), "")</f>
        <v/>
      </c>
      <c r="AB23" s="879"/>
      <c r="AC23" s="873" t="str">
        <f t="shared" si="8"/>
        <v/>
      </c>
      <c r="AD23" s="874" t="str">
        <f t="shared" si="9"/>
        <v/>
      </c>
      <c r="AE23" s="874" t="str">
        <f t="shared" si="10"/>
        <v/>
      </c>
      <c r="AF23" s="873" t="str">
        <f>IF($Q23="その他燃料", IFERROR(AC23 * _xlfn.XLOOKUP(D23, '(参考)排出係数'!$B$3:$B$14, '(参考)排出係数'!$F$3:$F$14, 0), ""), "")</f>
        <v/>
      </c>
      <c r="AG23" s="873">
        <f t="shared" si="11"/>
        <v>0</v>
      </c>
      <c r="AH23" s="1194">
        <f t="shared" si="13"/>
        <v>0</v>
      </c>
      <c r="AI23" s="1402" t="str">
        <f t="shared" si="14"/>
        <v/>
      </c>
      <c r="AJ23" s="352"/>
      <c r="AK23" s="352"/>
      <c r="AL23" s="352"/>
      <c r="AM23" s="352"/>
      <c r="AN23" s="352"/>
      <c r="AO23" s="352"/>
      <c r="AP23" s="352"/>
      <c r="AQ23" s="352"/>
      <c r="AR23" s="352"/>
      <c r="AS23" s="352"/>
    </row>
    <row r="24" spans="1:45" s="354" customFormat="1" ht="18.75" customHeight="1">
      <c r="A24" s="352"/>
      <c r="B24" s="371" t="s">
        <v>321</v>
      </c>
      <c r="C24" s="1145"/>
      <c r="D24" s="1331"/>
      <c r="E24" s="1135"/>
      <c r="F24" s="1135"/>
      <c r="G24" s="1135"/>
      <c r="H24" s="1228"/>
      <c r="I24" s="1332" t="str">
        <f t="shared" si="4"/>
        <v/>
      </c>
      <c r="J24" s="1333"/>
      <c r="K24" s="1220" t="str">
        <f t="shared" si="5"/>
        <v/>
      </c>
      <c r="L24" s="1220" t="str">
        <f t="shared" si="12"/>
        <v/>
      </c>
      <c r="M24" s="873" t="str">
        <f>_xlfn.XLOOKUP(D24, 【共通】事業所の光熱費!$C$6:$C$13, 【共通】事業所の光熱費!$H$6:$H$13, "")</f>
        <v/>
      </c>
      <c r="N24" s="874" t="str">
        <f t="shared" ref="N24:N27" si="16">IF(OR(L24="", M24=""), "", L24*M24)</f>
        <v/>
      </c>
      <c r="O24" s="1194" t="str">
        <f>IFERROR(L24 * _xlfn.XLOOKUP(D24, '(参考)排出係数'!$B$3:$B$14, '(参考)排出係数'!$F$3:$F$14, 0), "")</f>
        <v/>
      </c>
      <c r="P24" s="1288" t="str">
        <f t="shared" si="15"/>
        <v/>
      </c>
      <c r="Q24" s="1331"/>
      <c r="R24" s="1291"/>
      <c r="S24" s="586"/>
      <c r="T24" s="1220" t="str">
        <f t="shared" si="6"/>
        <v/>
      </c>
      <c r="U24" s="1295" t="str">
        <f>IF($Q24="電気式", IFERROR(IF(T24*【共通】事業所の光熱費!$H$6=0, "", T24*【共通】事業所の光熱費!$H$6), ""), "")</f>
        <v/>
      </c>
      <c r="V24" s="1194" t="str">
        <f>IF(Q24="電気式", IFERROR(IF(T24*'(参考)排出係数'!$F$3=0, "", T24*'(参考)排出係数'!$F$3), ""), "")</f>
        <v/>
      </c>
      <c r="W24" s="869"/>
      <c r="X24" s="1220" t="str">
        <f t="shared" si="7"/>
        <v/>
      </c>
      <c r="Y24" s="1334" t="str" cm="1">
        <f t="array" ref="Y24">IFERROR(X24/(_xlfn.IFS(AND($P$10="都市ガス",$Q$10="13A"),$P$4,AND($P$10="都市ガス",$Q$10="12A"),$P$5,AND($P$10="液化石油ガス",$Q$10="LP"),$P$6)),"")</f>
        <v/>
      </c>
      <c r="Z24" s="874" t="str" cm="1">
        <f t="array" ref="Z24">IFERROR(Y24 * _xlfn.IFS($P$10="都市ガス", 【共通】事業所の光熱費!$H$9, $P$10="液化石油ガス", 【共通】事業所の光熱費!$H$10), "")</f>
        <v/>
      </c>
      <c r="AA24" s="873" t="str" cm="1">
        <f t="array" ref="AA24">IFERROR(Y24 * _xlfn.IFS($P$10="都市ガス", '(参考)排出係数'!$F$14, $P$10="液化石油ガス", '(参考)排出係数'!$F$12), "")</f>
        <v/>
      </c>
      <c r="AB24" s="879"/>
      <c r="AC24" s="873" t="str">
        <f t="shared" si="8"/>
        <v/>
      </c>
      <c r="AD24" s="874" t="str">
        <f t="shared" si="9"/>
        <v/>
      </c>
      <c r="AE24" s="874" t="str">
        <f t="shared" si="10"/>
        <v/>
      </c>
      <c r="AF24" s="873" t="str">
        <f>IF($Q24="その他燃料", IFERROR(AC24 * _xlfn.XLOOKUP(D24, '(参考)排出係数'!$B$3:$B$14, '(参考)排出係数'!$F$3:$F$14, 0), ""), "")</f>
        <v/>
      </c>
      <c r="AG24" s="873">
        <f t="shared" si="11"/>
        <v>0</v>
      </c>
      <c r="AH24" s="1194">
        <f t="shared" si="13"/>
        <v>0</v>
      </c>
      <c r="AI24" s="1402" t="str">
        <f t="shared" si="14"/>
        <v/>
      </c>
      <c r="AJ24" s="352"/>
      <c r="AK24" s="352"/>
      <c r="AL24" s="352"/>
      <c r="AM24" s="352"/>
      <c r="AN24" s="352"/>
      <c r="AO24" s="352"/>
      <c r="AP24" s="352"/>
      <c r="AQ24" s="352"/>
      <c r="AR24" s="352"/>
      <c r="AS24" s="352"/>
    </row>
    <row r="25" spans="1:45" s="354" customFormat="1" ht="18.75" customHeight="1">
      <c r="A25" s="352"/>
      <c r="B25" s="371" t="s">
        <v>322</v>
      </c>
      <c r="C25" s="1145"/>
      <c r="D25" s="1331"/>
      <c r="E25" s="1135"/>
      <c r="F25" s="1135"/>
      <c r="G25" s="1135"/>
      <c r="H25" s="1228"/>
      <c r="I25" s="1332" t="str">
        <f t="shared" si="4"/>
        <v/>
      </c>
      <c r="J25" s="1333"/>
      <c r="K25" s="1220" t="str">
        <f t="shared" si="5"/>
        <v/>
      </c>
      <c r="L25" s="1220" t="str">
        <f t="shared" si="12"/>
        <v/>
      </c>
      <c r="M25" s="873" t="str">
        <f>_xlfn.XLOOKUP(D25, 【共通】事業所の光熱費!$C$6:$C$13, 【共通】事業所の光熱費!$H$6:$H$13, "")</f>
        <v/>
      </c>
      <c r="N25" s="874" t="str">
        <f t="shared" si="16"/>
        <v/>
      </c>
      <c r="O25" s="1194" t="str">
        <f>IFERROR(L25 * _xlfn.XLOOKUP(D25, '(参考)排出係数'!$B$3:$B$14, '(参考)排出係数'!$F$3:$F$14, 0), "")</f>
        <v/>
      </c>
      <c r="P25" s="1288" t="str">
        <f t="shared" si="15"/>
        <v/>
      </c>
      <c r="Q25" s="1331"/>
      <c r="R25" s="1291"/>
      <c r="S25" s="586"/>
      <c r="T25" s="1220" t="str">
        <f t="shared" si="6"/>
        <v/>
      </c>
      <c r="U25" s="1295" t="str">
        <f>IF($Q25="電気式", IFERROR(IF(T25*【共通】事業所の光熱費!$H$6=0, "", T25*【共通】事業所の光熱費!$H$6), ""), "")</f>
        <v/>
      </c>
      <c r="V25" s="1194" t="str">
        <f>IF(Q25="電気式", IFERROR(IF(T25*'(参考)排出係数'!$F$3=0, "", T25*'(参考)排出係数'!$F$3), ""), "")</f>
        <v/>
      </c>
      <c r="W25" s="869"/>
      <c r="X25" s="1220" t="str">
        <f t="shared" si="7"/>
        <v/>
      </c>
      <c r="Y25" s="1334" t="str" cm="1">
        <f t="array" ref="Y25">IFERROR(X25/(_xlfn.IFS(AND($P$10="都市ガス",$Q$10="13A"),$P$4,AND($P$10="都市ガス",$Q$10="12A"),$P$5,AND($P$10="液化石油ガス",$Q$10="LP"),$P$6)),"")</f>
        <v/>
      </c>
      <c r="Z25" s="874" t="str" cm="1">
        <f t="array" ref="Z25">IFERROR(Y25 * _xlfn.IFS($P$10="都市ガス", 【共通】事業所の光熱費!$H$9, $P$10="液化石油ガス", 【共通】事業所の光熱費!$H$10), "")</f>
        <v/>
      </c>
      <c r="AA25" s="873" t="str" cm="1">
        <f t="array" ref="AA25">IFERROR(Y25 * _xlfn.IFS($P$10="都市ガス", '(参考)排出係数'!$F$14, $P$10="液化石油ガス", '(参考)排出係数'!$F$12), "")</f>
        <v/>
      </c>
      <c r="AB25" s="879"/>
      <c r="AC25" s="873" t="str">
        <f t="shared" si="8"/>
        <v/>
      </c>
      <c r="AD25" s="874" t="str">
        <f t="shared" si="9"/>
        <v/>
      </c>
      <c r="AE25" s="874" t="str">
        <f t="shared" si="10"/>
        <v/>
      </c>
      <c r="AF25" s="873" t="str">
        <f>IF($Q25="その他燃料", IFERROR(AC25 * _xlfn.XLOOKUP(D25, '(参考)排出係数'!$B$3:$B$14, '(参考)排出係数'!$F$3:$F$14, 0), ""), "")</f>
        <v/>
      </c>
      <c r="AG25" s="873">
        <f t="shared" si="11"/>
        <v>0</v>
      </c>
      <c r="AH25" s="1194">
        <f t="shared" si="13"/>
        <v>0</v>
      </c>
      <c r="AI25" s="1402" t="str">
        <f t="shared" si="14"/>
        <v/>
      </c>
      <c r="AJ25" s="352"/>
      <c r="AK25" s="352"/>
      <c r="AL25" s="352"/>
      <c r="AM25" s="352"/>
      <c r="AN25" s="352"/>
      <c r="AO25" s="352"/>
      <c r="AP25" s="352"/>
      <c r="AQ25" s="352"/>
      <c r="AR25" s="352"/>
      <c r="AS25" s="352"/>
    </row>
    <row r="26" spans="1:45" s="354" customFormat="1" ht="18.75" customHeight="1">
      <c r="A26" s="352"/>
      <c r="B26" s="371" t="s">
        <v>323</v>
      </c>
      <c r="C26" s="1145"/>
      <c r="D26" s="1331"/>
      <c r="E26" s="1135"/>
      <c r="F26" s="1135"/>
      <c r="G26" s="1135"/>
      <c r="H26" s="1228"/>
      <c r="I26" s="1332" t="str">
        <f t="shared" si="4"/>
        <v/>
      </c>
      <c r="J26" s="1333"/>
      <c r="K26" s="1220" t="str">
        <f t="shared" si="5"/>
        <v/>
      </c>
      <c r="L26" s="1220" t="str">
        <f t="shared" si="12"/>
        <v/>
      </c>
      <c r="M26" s="873" t="str">
        <f>_xlfn.XLOOKUP(D26, 【共通】事業所の光熱費!$C$6:$C$13, 【共通】事業所の光熱費!$H$6:$H$13, "")</f>
        <v/>
      </c>
      <c r="N26" s="874" t="str">
        <f t="shared" si="16"/>
        <v/>
      </c>
      <c r="O26" s="1194" t="str">
        <f>IFERROR(L26 * _xlfn.XLOOKUP(D26, '(参考)排出係数'!$B$3:$B$14, '(参考)排出係数'!$F$3:$F$14, 0), "")</f>
        <v/>
      </c>
      <c r="P26" s="1288" t="str">
        <f t="shared" si="15"/>
        <v/>
      </c>
      <c r="Q26" s="1331"/>
      <c r="R26" s="1291"/>
      <c r="S26" s="586"/>
      <c r="T26" s="1220" t="str">
        <f t="shared" si="6"/>
        <v/>
      </c>
      <c r="U26" s="1295" t="str">
        <f>IF($Q26="電気式", IFERROR(IF(T26*【共通】事業所の光熱費!$H$6=0, "", T26*【共通】事業所の光熱費!$H$6), ""), "")</f>
        <v/>
      </c>
      <c r="V26" s="1194" t="str">
        <f>IF(Q26="電気式", IFERROR(IF(T26*'(参考)排出係数'!$F$3=0, "", T26*'(参考)排出係数'!$F$3), ""), "")</f>
        <v/>
      </c>
      <c r="W26" s="869"/>
      <c r="X26" s="1220" t="str">
        <f t="shared" si="7"/>
        <v/>
      </c>
      <c r="Y26" s="1334" t="str" cm="1">
        <f t="array" ref="Y26">IFERROR(X26/(_xlfn.IFS(AND($P$10="都市ガス",$Q$10="13A"),$P$4,AND($P$10="都市ガス",$Q$10="12A"),$P$5,AND($P$10="液化石油ガス",$Q$10="LP"),$P$6)),"")</f>
        <v/>
      </c>
      <c r="Z26" s="874" t="str" cm="1">
        <f t="array" ref="Z26">IFERROR(Y26 * _xlfn.IFS($P$10="都市ガス", 【共通】事業所の光熱費!$H$9, $P$10="液化石油ガス", 【共通】事業所の光熱費!$H$10), "")</f>
        <v/>
      </c>
      <c r="AA26" s="873" t="str" cm="1">
        <f t="array" ref="AA26">IFERROR(Y26 * _xlfn.IFS($P$10="都市ガス", '(参考)排出係数'!$F$14, $P$10="液化石油ガス", '(参考)排出係数'!$F$12), "")</f>
        <v/>
      </c>
      <c r="AB26" s="879"/>
      <c r="AC26" s="873" t="str">
        <f t="shared" si="8"/>
        <v/>
      </c>
      <c r="AD26" s="874" t="str">
        <f t="shared" si="9"/>
        <v/>
      </c>
      <c r="AE26" s="874" t="str">
        <f t="shared" si="10"/>
        <v/>
      </c>
      <c r="AF26" s="873" t="str">
        <f>IF($Q26="その他燃料", IFERROR(AC26 * _xlfn.XLOOKUP(D26, '(参考)排出係数'!$B$3:$B$14, '(参考)排出係数'!$F$3:$F$14, 0), ""), "")</f>
        <v/>
      </c>
      <c r="AG26" s="873">
        <f t="shared" si="11"/>
        <v>0</v>
      </c>
      <c r="AH26" s="1194">
        <f t="shared" si="13"/>
        <v>0</v>
      </c>
      <c r="AI26" s="1402" t="str">
        <f t="shared" si="14"/>
        <v/>
      </c>
      <c r="AJ26" s="352"/>
      <c r="AK26" s="352"/>
      <c r="AL26" s="352"/>
      <c r="AM26" s="352"/>
      <c r="AN26" s="352"/>
      <c r="AO26" s="352"/>
      <c r="AP26" s="352"/>
      <c r="AQ26" s="352"/>
      <c r="AR26" s="352"/>
      <c r="AS26" s="352"/>
    </row>
    <row r="27" spans="1:45" s="380" customFormat="1" ht="18.75" customHeight="1">
      <c r="A27" s="379"/>
      <c r="B27" s="371" t="s">
        <v>324</v>
      </c>
      <c r="C27" s="1145"/>
      <c r="D27" s="1331"/>
      <c r="E27" s="1135"/>
      <c r="F27" s="1135"/>
      <c r="G27" s="1135"/>
      <c r="H27" s="1228"/>
      <c r="I27" s="1332" t="str">
        <f t="shared" si="4"/>
        <v/>
      </c>
      <c r="J27" s="1333"/>
      <c r="K27" s="1220" t="str">
        <f t="shared" si="5"/>
        <v/>
      </c>
      <c r="L27" s="1220" t="str">
        <f t="shared" si="12"/>
        <v/>
      </c>
      <c r="M27" s="873" t="str">
        <f>_xlfn.XLOOKUP(D27, 【共通】事業所の光熱費!$C$6:$C$13, 【共通】事業所の光熱費!$H$6:$H$13, "")</f>
        <v/>
      </c>
      <c r="N27" s="874" t="str">
        <f t="shared" si="16"/>
        <v/>
      </c>
      <c r="O27" s="1194" t="str">
        <f>IFERROR(L27 * _xlfn.XLOOKUP(D27, '(参考)排出係数'!$B$3:$B$14, '(参考)排出係数'!$F$3:$F$14, 0), "")</f>
        <v/>
      </c>
      <c r="P27" s="1288" t="str">
        <f t="shared" si="15"/>
        <v/>
      </c>
      <c r="Q27" s="1331"/>
      <c r="R27" s="1291"/>
      <c r="S27" s="586"/>
      <c r="T27" s="1220" t="str">
        <f t="shared" si="6"/>
        <v/>
      </c>
      <c r="U27" s="1295" t="str">
        <f>IF($Q27="電気式", IFERROR(IF(T27*【共通】事業所の光熱費!$H$6=0, "", T27*【共通】事業所の光熱費!$H$6), ""), "")</f>
        <v/>
      </c>
      <c r="V27" s="1194" t="str">
        <f>IF(Q27="電気式", IFERROR(IF(T27*'(参考)排出係数'!$F$3=0, "", T27*'(参考)排出係数'!$F$3), ""), "")</f>
        <v/>
      </c>
      <c r="W27" s="869"/>
      <c r="X27" s="1220" t="str">
        <f t="shared" si="7"/>
        <v/>
      </c>
      <c r="Y27" s="1334" t="str" cm="1">
        <f t="array" ref="Y27">IFERROR(X27/(_xlfn.IFS(AND($P$10="都市ガス",$Q$10="13A"),$P$4,AND($P$10="都市ガス",$Q$10="12A"),$P$5,AND($P$10="液化石油ガス",$Q$10="LP"),$P$6)),"")</f>
        <v/>
      </c>
      <c r="Z27" s="874" t="str" cm="1">
        <f t="array" ref="Z27">IFERROR(Y27 * _xlfn.IFS($P$10="都市ガス", 【共通】事業所の光熱費!$H$9, $P$10="液化石油ガス", 【共通】事業所の光熱費!$H$10), "")</f>
        <v/>
      </c>
      <c r="AA27" s="873" t="str" cm="1">
        <f t="array" ref="AA27">IFERROR(Y27 * _xlfn.IFS($P$10="都市ガス", '(参考)排出係数'!$F$14, $P$10="液化石油ガス", '(参考)排出係数'!$F$12), "")</f>
        <v/>
      </c>
      <c r="AB27" s="879"/>
      <c r="AC27" s="873" t="str">
        <f t="shared" si="8"/>
        <v/>
      </c>
      <c r="AD27" s="874" t="str">
        <f t="shared" si="9"/>
        <v/>
      </c>
      <c r="AE27" s="874" t="str">
        <f t="shared" si="10"/>
        <v/>
      </c>
      <c r="AF27" s="873" t="str">
        <f>IF($Q27="その他燃料", IFERROR(AC27 * _xlfn.XLOOKUP(D27, '(参考)排出係数'!$B$3:$B$14, '(参考)排出係数'!$F$3:$F$14, 0), ""), "")</f>
        <v/>
      </c>
      <c r="AG27" s="873">
        <f t="shared" si="11"/>
        <v>0</v>
      </c>
      <c r="AH27" s="1194">
        <f t="shared" si="13"/>
        <v>0</v>
      </c>
      <c r="AI27" s="1402" t="str">
        <f t="shared" si="14"/>
        <v/>
      </c>
      <c r="AJ27" s="379"/>
      <c r="AK27" s="379"/>
      <c r="AL27" s="379"/>
      <c r="AM27" s="379"/>
      <c r="AN27" s="379"/>
      <c r="AO27" s="379"/>
      <c r="AP27" s="379"/>
      <c r="AQ27" s="379"/>
      <c r="AR27" s="379"/>
      <c r="AS27" s="379"/>
    </row>
    <row r="28" spans="1:45" ht="18.75" customHeight="1">
      <c r="A28" s="1405"/>
      <c r="B28" s="388"/>
      <c r="C28" s="389"/>
      <c r="D28" s="390"/>
      <c r="E28" s="388"/>
      <c r="F28" s="391"/>
      <c r="G28" s="391"/>
      <c r="H28" s="392"/>
      <c r="I28" s="392"/>
      <c r="J28" s="393"/>
      <c r="K28" s="389"/>
      <c r="L28" s="388"/>
      <c r="M28" s="388"/>
      <c r="N28" s="394"/>
      <c r="O28" s="395"/>
      <c r="P28" s="393"/>
      <c r="Q28" s="396"/>
      <c r="R28" s="397"/>
      <c r="S28" s="379"/>
      <c r="T28" s="379"/>
      <c r="U28" s="379"/>
      <c r="V28" s="379"/>
      <c r="W28" s="379"/>
      <c r="X28" s="379"/>
      <c r="Y28" s="1405"/>
      <c r="Z28" s="1405"/>
      <c r="AA28" s="1405"/>
      <c r="AB28" s="1405"/>
      <c r="AC28" s="1405"/>
      <c r="AD28" s="1405"/>
      <c r="AE28" s="1405"/>
      <c r="AF28" s="1405"/>
      <c r="AG28" s="1405"/>
      <c r="AH28" s="1405"/>
      <c r="AI28" s="1405"/>
      <c r="AJ28" s="1405"/>
      <c r="AK28" s="1405"/>
      <c r="AL28" s="1405"/>
      <c r="AM28" s="1405"/>
      <c r="AN28" s="1405"/>
      <c r="AO28" s="1405"/>
      <c r="AP28" s="1405"/>
      <c r="AQ28" s="1405"/>
      <c r="AR28" s="1405"/>
      <c r="AS28" s="1405"/>
    </row>
    <row r="29" spans="1:45">
      <c r="A29" s="1405"/>
      <c r="B29" s="1405"/>
      <c r="C29" s="1405"/>
      <c r="D29" s="1405"/>
      <c r="E29" s="1405"/>
      <c r="F29" s="1405"/>
      <c r="G29" s="1405"/>
      <c r="H29" s="1405"/>
      <c r="I29" s="1405"/>
      <c r="J29" s="1405"/>
      <c r="K29" s="1405"/>
      <c r="L29" s="1405"/>
      <c r="M29" s="1405"/>
      <c r="N29" s="1405"/>
      <c r="O29" s="1405"/>
      <c r="P29" s="1405"/>
      <c r="Q29" s="1405"/>
      <c r="R29" s="1405"/>
      <c r="S29" s="1405"/>
      <c r="T29" s="1405"/>
      <c r="U29" s="1405"/>
      <c r="V29" s="1405"/>
      <c r="W29" s="1405"/>
      <c r="X29" s="1405"/>
      <c r="Y29" s="1405"/>
      <c r="Z29" s="1405"/>
      <c r="AA29" s="1405"/>
      <c r="AB29" s="1405"/>
      <c r="AC29" s="1405"/>
      <c r="AD29" s="1405"/>
      <c r="AE29" s="1405"/>
      <c r="AF29" s="1405"/>
      <c r="AG29" s="1405"/>
      <c r="AH29" s="1405"/>
      <c r="AI29" s="1405"/>
      <c r="AJ29" s="1405"/>
      <c r="AK29" s="1405"/>
      <c r="AL29" s="1405"/>
      <c r="AM29" s="1405"/>
      <c r="AN29" s="1405"/>
      <c r="AO29" s="1405"/>
      <c r="AP29" s="1405"/>
      <c r="AQ29" s="1405"/>
      <c r="AR29" s="1405"/>
      <c r="AS29" s="1405"/>
    </row>
    <row r="30" spans="1:45">
      <c r="A30" s="1405"/>
      <c r="B30" s="1405"/>
      <c r="C30" s="1405"/>
      <c r="D30" s="1405"/>
      <c r="E30" s="1405"/>
      <c r="F30" s="1405"/>
      <c r="G30" s="1405"/>
      <c r="H30" s="1405"/>
      <c r="I30" s="1405"/>
      <c r="J30" s="1405"/>
      <c r="K30" s="1405"/>
      <c r="L30" s="1405"/>
      <c r="M30" s="1405"/>
      <c r="N30" s="1405"/>
      <c r="O30" s="1405"/>
      <c r="P30" s="1405"/>
      <c r="Q30" s="1405"/>
      <c r="R30" s="1405"/>
      <c r="S30" s="1405"/>
      <c r="T30" s="1405"/>
      <c r="U30" s="1405"/>
      <c r="V30" s="1405"/>
      <c r="W30" s="1405"/>
      <c r="X30" s="1405"/>
      <c r="Y30" s="1405"/>
      <c r="Z30" s="1405"/>
      <c r="AA30" s="1405"/>
      <c r="AB30" s="1405"/>
      <c r="AC30" s="1405"/>
      <c r="AD30" s="1405"/>
      <c r="AE30" s="1405"/>
      <c r="AF30" s="1405"/>
      <c r="AG30" s="1405"/>
      <c r="AH30" s="1405"/>
      <c r="AI30" s="1405"/>
      <c r="AJ30" s="1405"/>
      <c r="AK30" s="1405"/>
      <c r="AL30" s="1405"/>
      <c r="AM30" s="1405"/>
      <c r="AN30" s="1405"/>
      <c r="AO30" s="1405"/>
      <c r="AP30" s="1405"/>
      <c r="AQ30" s="1405"/>
      <c r="AR30" s="1405"/>
      <c r="AS30" s="1405"/>
    </row>
    <row r="31" spans="1:45">
      <c r="A31" s="1405"/>
      <c r="B31" s="1405"/>
      <c r="C31" s="1405"/>
      <c r="D31" s="1405"/>
      <c r="E31" s="1405"/>
      <c r="F31" s="1405"/>
      <c r="G31" s="1405"/>
      <c r="H31" s="1405"/>
      <c r="I31" s="1405"/>
      <c r="J31" s="1405"/>
      <c r="K31" s="1405"/>
      <c r="L31" s="1405"/>
      <c r="M31" s="1405"/>
      <c r="N31" s="1405"/>
      <c r="O31" s="1405"/>
      <c r="P31" s="1405"/>
      <c r="Q31" s="1405"/>
      <c r="R31" s="1405"/>
      <c r="S31" s="1405"/>
      <c r="T31" s="1405"/>
      <c r="U31" s="1405"/>
      <c r="V31" s="1405"/>
      <c r="W31" s="1405"/>
      <c r="X31" s="1405"/>
      <c r="Y31" s="1405"/>
      <c r="Z31" s="1405"/>
      <c r="AA31" s="1405"/>
      <c r="AB31" s="1405"/>
      <c r="AC31" s="1405"/>
      <c r="AD31" s="1405"/>
      <c r="AE31" s="1405"/>
      <c r="AF31" s="1405"/>
      <c r="AG31" s="1405"/>
      <c r="AH31" s="1405"/>
      <c r="AI31" s="1405"/>
      <c r="AJ31" s="1405"/>
      <c r="AK31" s="1405"/>
      <c r="AL31" s="1405"/>
      <c r="AM31" s="1405"/>
      <c r="AN31" s="1405"/>
      <c r="AO31" s="1405"/>
      <c r="AP31" s="1405"/>
      <c r="AQ31" s="1405"/>
      <c r="AR31" s="1405"/>
      <c r="AS31" s="1405"/>
    </row>
    <row r="32" spans="1:45">
      <c r="A32" s="1405"/>
      <c r="B32" s="1405"/>
      <c r="C32" s="1405"/>
      <c r="D32" s="1405"/>
      <c r="E32" s="1405"/>
      <c r="F32" s="1405"/>
      <c r="G32" s="1405"/>
      <c r="H32" s="1405"/>
      <c r="I32" s="1405"/>
      <c r="J32" s="1405"/>
      <c r="K32" s="1405"/>
      <c r="L32" s="1405"/>
      <c r="M32" s="1405"/>
      <c r="N32" s="1405"/>
      <c r="O32" s="1405"/>
      <c r="P32" s="1405"/>
      <c r="Q32" s="1405"/>
      <c r="R32" s="1405"/>
      <c r="S32" s="1405"/>
      <c r="T32" s="1405"/>
      <c r="U32" s="1405"/>
      <c r="V32" s="1405"/>
      <c r="W32" s="1405"/>
      <c r="X32" s="1405"/>
      <c r="Y32" s="1405"/>
      <c r="Z32" s="1405"/>
      <c r="AA32" s="1405"/>
      <c r="AB32" s="1405"/>
      <c r="AC32" s="1405"/>
      <c r="AD32" s="1405"/>
      <c r="AE32" s="1405"/>
      <c r="AF32" s="1405"/>
      <c r="AG32" s="1405"/>
      <c r="AH32" s="1405"/>
      <c r="AI32" s="1405"/>
      <c r="AJ32" s="1405"/>
      <c r="AK32" s="1405"/>
      <c r="AL32" s="1405"/>
      <c r="AM32" s="1405"/>
      <c r="AN32" s="1405"/>
      <c r="AO32" s="1405"/>
      <c r="AP32" s="1405"/>
      <c r="AQ32" s="1405"/>
      <c r="AR32" s="1405"/>
      <c r="AS32" s="1405"/>
    </row>
  </sheetData>
  <protectedRanges>
    <protectedRange sqref="C18:H27 J18:J27 P18:S27 W18:W27 AB18:AB27 P10:Q10" name="範囲1"/>
  </protectedRanges>
  <mergeCells count="3">
    <mergeCell ref="B11:B13"/>
    <mergeCell ref="P8:Q8"/>
    <mergeCell ref="AG12:AG13"/>
  </mergeCells>
  <phoneticPr fontId="25"/>
  <conditionalFormatting sqref="D17:K17">
    <cfRule type="expression" dxfId="15" priority="24">
      <formula>$F$1="なし"</formula>
    </cfRule>
  </conditionalFormatting>
  <conditionalFormatting sqref="F7:H7">
    <cfRule type="expression" dxfId="14" priority="25">
      <formula>$G$1="なし"</formula>
    </cfRule>
  </conditionalFormatting>
  <conditionalFormatting sqref="F4:I4">
    <cfRule type="expression" dxfId="13" priority="21">
      <formula>$G$1="なし"</formula>
    </cfRule>
  </conditionalFormatting>
  <conditionalFormatting sqref="P10">
    <cfRule type="expression" dxfId="12" priority="19">
      <formula>$D$1="なし"</formula>
    </cfRule>
  </conditionalFormatting>
  <conditionalFormatting sqref="Q10">
    <cfRule type="expression" dxfId="11" priority="20">
      <formula>$F$1="なし"</formula>
    </cfRule>
  </conditionalFormatting>
  <conditionalFormatting sqref="R15:V16 AB15:AF16 AB18:AF27">
    <cfRule type="expression" dxfId="10" priority="5">
      <formula>$Q15="ガス式"</formula>
    </cfRule>
  </conditionalFormatting>
  <conditionalFormatting sqref="R18:V27">
    <cfRule type="expression" dxfId="9" priority="2">
      <formula>$Q18="ガス式"</formula>
    </cfRule>
  </conditionalFormatting>
  <conditionalFormatting sqref="R15:AA16">
    <cfRule type="expression" dxfId="8" priority="4">
      <formula>$Q15="その他燃料"</formula>
    </cfRule>
  </conditionalFormatting>
  <conditionalFormatting sqref="R18:AA27">
    <cfRule type="expression" dxfId="7" priority="1">
      <formula>$Q18="その他燃料"</formula>
    </cfRule>
  </conditionalFormatting>
  <conditionalFormatting sqref="W15:AF16 W18:AF27">
    <cfRule type="expression" dxfId="6" priority="7">
      <formula>$Q15="電気式"</formula>
    </cfRule>
  </conditionalFormatting>
  <dataValidations count="6">
    <dataValidation type="list" allowBlank="1" showInputMessage="1" showErrorMessage="1" sqref="D17" xr:uid="{1A68EE27-9A3B-47E4-99D9-086148DD8555}">
      <formula1>"電気,灯油,A重油,都市ガス,液化石油ガス,ガソリン,軽油"</formula1>
    </dataValidation>
    <dataValidation type="list" allowBlank="1" showInputMessage="1" showErrorMessage="1" sqref="Q17" xr:uid="{598E6122-2D21-4879-84F2-03212B5B1E9C}">
      <formula1>"電気式,ガス式"</formula1>
    </dataValidation>
    <dataValidation type="list" allowBlank="1" showInputMessage="1" showErrorMessage="1" sqref="P10" xr:uid="{11638720-B7AF-4A0A-A5B4-C9F5D815CDBF}">
      <formula1>"都市ガス,液化石油ガス"</formula1>
    </dataValidation>
    <dataValidation type="list" allowBlank="1" showInputMessage="1" showErrorMessage="1" sqref="Q10" xr:uid="{A013E9F6-DD50-44E9-8862-907F3BFC2B34}">
      <formula1>"13A,12A,LP"</formula1>
    </dataValidation>
    <dataValidation type="list" allowBlank="1" showInputMessage="1" showErrorMessage="1" sqref="Q15:Q16 Q18:Q27" xr:uid="{F4D265C1-791D-4572-B667-27DDFD4D2A5C}">
      <formula1>"電気式,ガス式,その他燃料"</formula1>
    </dataValidation>
    <dataValidation type="list" allowBlank="1" showInputMessage="1" showErrorMessage="1" sqref="D18:D27 D15:D16" xr:uid="{EF929053-A705-4B7E-8C37-2BEB3414F9CC}">
      <formula1>"灯油,A重油,都市ガス,液化石油ガス（LPG）,ガソリン,軽油"</formula1>
    </dataValidation>
  </dataValidations>
  <pageMargins left="0.7" right="0.7" top="0.75" bottom="0.75" header="0.3" footer="0.3"/>
  <pageSetup paperSize="8" scale="4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0BCB86E-A7A6-4EDC-81D6-70B5098F716A}">
          <x14:formula1>
            <xm:f>【共通】事業所の光熱費!$C$6:$C$13</xm:f>
          </x14:formula1>
          <xm:sqref>D17</xm:sqref>
        </x14:dataValidation>
        <x14:dataValidation type="list" allowBlank="1" showInputMessage="1" showErrorMessage="1" xr:uid="{2204A24E-5321-4B42-8837-1B0A563A0AA9}">
          <x14:formula1>
            <xm:f>【共通】事業所の光熱費!$C$7:$C$13</xm:f>
          </x14:formula1>
          <xm:sqref>D15:D16 D18:D27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98529-927C-4441-AC09-0B6E933BA279}">
  <sheetPr>
    <pageSetUpPr fitToPage="1"/>
  </sheetPr>
  <dimension ref="A1:AJ33"/>
  <sheetViews>
    <sheetView zoomScaleNormal="100" zoomScaleSheetLayoutView="100" workbookViewId="0">
      <pane ySplit="1" topLeftCell="A2" activePane="bottomLeft" state="frozen"/>
      <selection activeCell="I4" sqref="I4:I7"/>
      <selection pane="bottomLeft" activeCell="A2" sqref="A2"/>
    </sheetView>
  </sheetViews>
  <sheetFormatPr defaultColWidth="8.58203125" defaultRowHeight="13"/>
  <cols>
    <col min="1" max="1" width="3.58203125" style="112" customWidth="1"/>
    <col min="2" max="2" width="7.58203125" style="112" customWidth="1"/>
    <col min="3" max="3" width="10.58203125" style="112" customWidth="1"/>
    <col min="4" max="4" width="11.25" style="112" customWidth="1"/>
    <col min="5" max="5" width="15.33203125" style="112" customWidth="1"/>
    <col min="6" max="15" width="10.58203125" style="112" customWidth="1"/>
    <col min="16" max="16" width="10.58203125" style="554" customWidth="1"/>
    <col min="17" max="17" width="10.58203125" style="583" customWidth="1"/>
    <col min="18" max="29" width="10.58203125" style="112" customWidth="1"/>
    <col min="30" max="30" width="9.5" style="112" bestFit="1" customWidth="1"/>
    <col min="31" max="31" width="10.58203125" style="112" customWidth="1"/>
    <col min="32" max="33" width="34.33203125" style="112" customWidth="1"/>
    <col min="34" max="16384" width="8.58203125" style="112"/>
  </cols>
  <sheetData>
    <row r="1" spans="1:36" s="114" customFormat="1" ht="30" customHeight="1">
      <c r="A1" s="163" t="s">
        <v>1067</v>
      </c>
      <c r="B1" s="164"/>
      <c r="C1" s="164"/>
      <c r="D1" s="164"/>
      <c r="E1" s="164"/>
      <c r="F1" s="164"/>
      <c r="G1" s="164"/>
      <c r="H1" s="177"/>
      <c r="I1" s="164"/>
      <c r="J1" s="164"/>
      <c r="K1" s="167"/>
      <c r="L1" s="164"/>
      <c r="M1" s="164"/>
      <c r="N1" s="164"/>
      <c r="O1" s="164"/>
      <c r="P1" s="551"/>
      <c r="Q1" s="177"/>
      <c r="R1" s="164"/>
      <c r="S1" s="164"/>
      <c r="T1" s="164"/>
      <c r="U1" s="164"/>
      <c r="V1" s="164"/>
      <c r="W1" s="164"/>
      <c r="X1" s="164"/>
      <c r="Y1" s="164"/>
      <c r="Z1" s="164"/>
      <c r="AA1" s="164"/>
      <c r="AB1" s="164"/>
      <c r="AC1" s="164"/>
      <c r="AD1" s="164"/>
      <c r="AE1" s="164"/>
      <c r="AF1" s="164"/>
      <c r="AG1" s="164"/>
      <c r="AH1" s="164"/>
    </row>
    <row r="2" spans="1:36" s="380" customFormat="1" ht="18.75" customHeight="1">
      <c r="A2" s="379"/>
      <c r="B2" s="379"/>
      <c r="C2" s="379"/>
      <c r="D2" s="379"/>
      <c r="E2" s="379"/>
      <c r="F2" s="379"/>
      <c r="G2" s="379"/>
      <c r="H2" s="379"/>
      <c r="I2" s="379"/>
      <c r="J2" s="379"/>
      <c r="K2" s="379"/>
      <c r="L2" s="379"/>
      <c r="M2" s="379"/>
      <c r="N2" s="379"/>
      <c r="O2" s="379"/>
      <c r="P2" s="552"/>
      <c r="Q2" s="379"/>
      <c r="R2" s="379"/>
      <c r="S2" s="379"/>
      <c r="T2" s="379"/>
      <c r="U2" s="352"/>
      <c r="V2" s="379"/>
      <c r="W2" s="379"/>
      <c r="X2" s="379"/>
      <c r="Y2" s="379"/>
      <c r="Z2" s="379"/>
      <c r="AA2" s="379"/>
      <c r="AB2" s="379"/>
      <c r="AC2" s="379"/>
      <c r="AD2" s="379"/>
      <c r="AE2" s="379"/>
      <c r="AF2" s="379"/>
      <c r="AG2" s="379"/>
      <c r="AH2" s="419" t="s">
        <v>810</v>
      </c>
      <c r="AI2" s="419" t="s">
        <v>814</v>
      </c>
      <c r="AJ2" s="419" t="s">
        <v>815</v>
      </c>
    </row>
    <row r="3" spans="1:36" s="380" customFormat="1" ht="18.75" customHeight="1">
      <c r="A3" s="379"/>
      <c r="B3" s="379"/>
      <c r="C3" s="115" t="s">
        <v>197</v>
      </c>
      <c r="D3" s="116"/>
      <c r="E3" s="117" t="s">
        <v>198</v>
      </c>
      <c r="F3" s="117" t="s">
        <v>199</v>
      </c>
      <c r="G3" s="121" t="s">
        <v>200</v>
      </c>
      <c r="H3" s="117" t="s">
        <v>201</v>
      </c>
      <c r="I3" s="122" t="s">
        <v>202</v>
      </c>
      <c r="J3" s="379"/>
      <c r="K3" s="1872" t="s">
        <v>808</v>
      </c>
      <c r="L3" s="1873"/>
      <c r="M3" s="1873"/>
      <c r="N3" s="1874"/>
      <c r="O3" s="379"/>
      <c r="P3" s="360" t="s">
        <v>651</v>
      </c>
      <c r="Q3" s="361"/>
      <c r="R3" s="117" t="s">
        <v>659</v>
      </c>
      <c r="S3" s="117" t="s">
        <v>7</v>
      </c>
      <c r="T3" s="379"/>
      <c r="U3" s="352"/>
      <c r="V3" s="379"/>
      <c r="W3" s="379"/>
      <c r="X3" s="379"/>
      <c r="Y3" s="379"/>
      <c r="Z3" s="379"/>
      <c r="AA3" s="379"/>
      <c r="AB3" s="379"/>
      <c r="AC3" s="379"/>
      <c r="AD3" s="379"/>
      <c r="AE3" s="379"/>
      <c r="AF3" s="379"/>
      <c r="AG3" s="379"/>
      <c r="AH3" s="419" t="s">
        <v>816</v>
      </c>
      <c r="AI3" s="419" t="s">
        <v>817</v>
      </c>
      <c r="AJ3" s="419"/>
    </row>
    <row r="4" spans="1:36" s="380" customFormat="1" ht="18.75" customHeight="1">
      <c r="A4" s="379"/>
      <c r="B4" s="379"/>
      <c r="C4" s="118" t="s">
        <v>203</v>
      </c>
      <c r="D4" s="119"/>
      <c r="E4" s="117" t="s">
        <v>204</v>
      </c>
      <c r="F4" s="896" t="s">
        <v>45</v>
      </c>
      <c r="G4" s="896" t="s">
        <v>45</v>
      </c>
      <c r="H4" s="896" t="s">
        <v>45</v>
      </c>
      <c r="I4" s="899" t="s">
        <v>45</v>
      </c>
      <c r="J4" s="379"/>
      <c r="K4" s="576" t="s">
        <v>809</v>
      </c>
      <c r="L4" s="575" t="s">
        <v>811</v>
      </c>
      <c r="M4" s="575"/>
      <c r="N4" s="572" t="s">
        <v>812</v>
      </c>
      <c r="O4" s="379"/>
      <c r="P4" s="418" t="s">
        <v>282</v>
      </c>
      <c r="Q4" s="421" t="s">
        <v>654</v>
      </c>
      <c r="R4" s="419">
        <v>45</v>
      </c>
      <c r="S4" s="420" t="s">
        <v>660</v>
      </c>
      <c r="T4" s="379"/>
      <c r="U4" s="352"/>
      <c r="V4" s="379"/>
      <c r="W4" s="379"/>
      <c r="X4" s="379"/>
      <c r="Y4" s="379"/>
      <c r="Z4" s="379"/>
      <c r="AA4" s="352"/>
      <c r="AB4" s="352"/>
      <c r="AC4" s="379"/>
      <c r="AD4" s="379"/>
      <c r="AE4" s="379"/>
      <c r="AF4" s="379"/>
      <c r="AG4" s="379"/>
      <c r="AH4" s="379"/>
    </row>
    <row r="5" spans="1:36" s="380" customFormat="1" ht="18.75" customHeight="1">
      <c r="A5" s="379"/>
      <c r="B5" s="379"/>
      <c r="C5" s="118" t="s">
        <v>205</v>
      </c>
      <c r="D5" s="119"/>
      <c r="E5" s="120" t="s">
        <v>374</v>
      </c>
      <c r="F5" s="897">
        <f>M16</f>
        <v>0</v>
      </c>
      <c r="G5" s="898">
        <f>AC16</f>
        <v>0</v>
      </c>
      <c r="H5" s="616">
        <f>F5-G5</f>
        <v>0</v>
      </c>
      <c r="I5" s="888">
        <f>IF(OR(F5=0,H5=0),0,H5/F5)</f>
        <v>0</v>
      </c>
      <c r="J5" s="379"/>
      <c r="K5" s="577" t="s">
        <v>810</v>
      </c>
      <c r="L5" s="1877" t="s">
        <v>814</v>
      </c>
      <c r="M5" s="1878"/>
      <c r="N5" s="571">
        <v>0.75</v>
      </c>
      <c r="O5" s="379"/>
      <c r="P5" s="422"/>
      <c r="Q5" s="421" t="s">
        <v>656</v>
      </c>
      <c r="R5" s="419">
        <v>46</v>
      </c>
      <c r="S5" s="420" t="s">
        <v>660</v>
      </c>
      <c r="T5" s="379"/>
      <c r="U5" s="352"/>
      <c r="V5" s="379"/>
      <c r="W5" s="379"/>
      <c r="X5" s="379"/>
      <c r="Y5" s="379"/>
      <c r="Z5" s="379"/>
      <c r="AA5" s="379"/>
      <c r="AB5" s="379"/>
      <c r="AC5" s="379"/>
      <c r="AD5" s="379"/>
      <c r="AE5" s="379"/>
      <c r="AF5" s="379"/>
      <c r="AG5" s="379"/>
      <c r="AH5" s="379"/>
    </row>
    <row r="6" spans="1:36" s="380" customFormat="1" ht="18.75" customHeight="1">
      <c r="A6" s="379"/>
      <c r="B6" s="379"/>
      <c r="C6" s="118" t="s">
        <v>207</v>
      </c>
      <c r="D6" s="119"/>
      <c r="E6" s="117" t="s">
        <v>208</v>
      </c>
      <c r="F6" s="746">
        <f>L16</f>
        <v>0</v>
      </c>
      <c r="G6" s="746">
        <f>V16+AA16</f>
        <v>0</v>
      </c>
      <c r="H6" s="616">
        <f>F6-G6</f>
        <v>0</v>
      </c>
      <c r="I6" s="888">
        <f>IF(OR(F6=0,H6=0),0,H6/F6)</f>
        <v>0</v>
      </c>
      <c r="J6" s="379"/>
      <c r="K6" s="578"/>
      <c r="L6" s="1877" t="s">
        <v>815</v>
      </c>
      <c r="M6" s="1878"/>
      <c r="N6" s="571">
        <v>0.65</v>
      </c>
      <c r="O6" s="379"/>
      <c r="P6" s="421" t="s">
        <v>350</v>
      </c>
      <c r="Q6" s="421" t="s">
        <v>658</v>
      </c>
      <c r="R6" s="419">
        <v>99.5</v>
      </c>
      <c r="S6" s="420" t="s">
        <v>660</v>
      </c>
      <c r="T6" s="379"/>
      <c r="U6" s="352"/>
      <c r="V6" s="379"/>
      <c r="W6" s="379"/>
      <c r="X6" s="379"/>
      <c r="Y6" s="379"/>
      <c r="Z6" s="379"/>
      <c r="AA6" s="379"/>
      <c r="AB6" s="379"/>
      <c r="AC6" s="379"/>
      <c r="AD6" s="379"/>
      <c r="AE6" s="379"/>
      <c r="AF6" s="379"/>
      <c r="AG6" s="379"/>
      <c r="AH6" s="379"/>
    </row>
    <row r="7" spans="1:36" s="380" customFormat="1" ht="18.75" customHeight="1" thickBot="1">
      <c r="A7" s="379"/>
      <c r="B7" s="379"/>
      <c r="C7" s="173" t="s">
        <v>436</v>
      </c>
      <c r="D7" s="174"/>
      <c r="E7" s="117" t="s">
        <v>209</v>
      </c>
      <c r="F7" s="901">
        <f>F5/'(参考)排出係数'!$F$3*0.0000258</f>
        <v>0</v>
      </c>
      <c r="G7" s="901">
        <f>G5/'(参考)排出係数'!$F$3*0.0000258</f>
        <v>0</v>
      </c>
      <c r="H7" s="901">
        <f>H5/'(参考)排出係数'!$F$3*0.0000258</f>
        <v>0</v>
      </c>
      <c r="I7" s="888">
        <f>IF(OR(F7=0,H7=0),0,H7/F7)</f>
        <v>0</v>
      </c>
      <c r="J7" s="379"/>
      <c r="K7" s="570" t="s">
        <v>806</v>
      </c>
      <c r="L7" s="1877" t="s">
        <v>807</v>
      </c>
      <c r="M7" s="1878"/>
      <c r="N7" s="571">
        <v>0.6</v>
      </c>
      <c r="O7" s="379"/>
      <c r="P7" s="352" t="s">
        <v>665</v>
      </c>
      <c r="Q7" s="379"/>
      <c r="R7" s="379"/>
      <c r="S7" s="379"/>
      <c r="T7" s="379"/>
      <c r="U7" s="352"/>
      <c r="V7" s="379"/>
      <c r="W7" s="379"/>
      <c r="X7" s="379"/>
      <c r="Y7" s="379"/>
      <c r="Z7" s="379"/>
      <c r="AA7" s="379"/>
      <c r="AB7" s="379"/>
      <c r="AC7" s="379"/>
      <c r="AD7" s="379"/>
      <c r="AE7" s="379"/>
      <c r="AF7" s="379"/>
      <c r="AG7" s="379"/>
      <c r="AH7" s="379"/>
    </row>
    <row r="8" spans="1:36" s="380" customFormat="1" ht="18.75" customHeight="1" thickBot="1">
      <c r="A8" s="379"/>
      <c r="B8" s="379"/>
      <c r="C8" s="1818" t="s">
        <v>376</v>
      </c>
      <c r="D8" s="1818"/>
      <c r="E8" s="1818"/>
      <c r="F8" s="1818"/>
      <c r="G8" s="1818"/>
      <c r="H8" s="388"/>
      <c r="I8" s="379"/>
      <c r="J8" s="379"/>
      <c r="K8" s="379"/>
      <c r="L8" s="379"/>
      <c r="M8" s="379"/>
      <c r="N8" s="379"/>
      <c r="O8" s="379"/>
      <c r="P8" s="352" t="s">
        <v>664</v>
      </c>
      <c r="Q8" s="379"/>
      <c r="R8" s="1875" t="s">
        <v>663</v>
      </c>
      <c r="S8" s="1876"/>
      <c r="T8" s="379"/>
      <c r="U8" s="352"/>
      <c r="V8" s="379"/>
      <c r="W8" s="379"/>
      <c r="X8" s="379"/>
      <c r="Y8" s="379"/>
      <c r="Z8" s="379"/>
      <c r="AA8" s="379"/>
      <c r="AB8" s="379"/>
      <c r="AC8" s="379"/>
      <c r="AD8" s="379"/>
      <c r="AE8" s="379"/>
      <c r="AF8" s="379"/>
      <c r="AG8" s="379"/>
      <c r="AH8" s="379"/>
    </row>
    <row r="9" spans="1:36" s="380" customFormat="1" ht="18.75" customHeight="1">
      <c r="A9" s="379"/>
      <c r="B9" s="379"/>
      <c r="C9" s="379"/>
      <c r="D9" s="379"/>
      <c r="E9" s="379"/>
      <c r="F9" s="379"/>
      <c r="G9" s="379"/>
      <c r="H9" s="379"/>
      <c r="I9" s="379"/>
      <c r="J9" s="379"/>
      <c r="K9" s="379"/>
      <c r="L9" s="379"/>
      <c r="M9" s="379"/>
      <c r="N9" s="379"/>
      <c r="O9" s="379"/>
      <c r="P9" s="379"/>
      <c r="Q9" s="379"/>
      <c r="R9" s="424" t="s">
        <v>237</v>
      </c>
      <c r="S9" s="425" t="s">
        <v>651</v>
      </c>
      <c r="T9" s="352"/>
      <c r="U9" s="352"/>
      <c r="V9" s="379"/>
      <c r="W9" s="379"/>
      <c r="X9" s="379"/>
      <c r="Y9" s="379"/>
      <c r="Z9" s="379"/>
      <c r="AA9" s="379"/>
      <c r="AB9" s="379"/>
      <c r="AC9" s="379"/>
      <c r="AD9" s="379"/>
      <c r="AE9" s="379"/>
      <c r="AF9" s="379"/>
      <c r="AG9" s="379"/>
      <c r="AH9" s="379"/>
    </row>
    <row r="10" spans="1:36" s="380" customFormat="1" ht="18.75" customHeight="1" thickBot="1">
      <c r="A10" s="379"/>
      <c r="B10" s="379"/>
      <c r="C10" s="439" t="s">
        <v>43</v>
      </c>
      <c r="D10" s="440" t="s">
        <v>668</v>
      </c>
      <c r="E10" s="441" t="s">
        <v>723</v>
      </c>
      <c r="F10" s="379"/>
      <c r="G10" s="379"/>
      <c r="H10" s="379"/>
      <c r="I10" s="379"/>
      <c r="J10" s="379"/>
      <c r="K10" s="379"/>
      <c r="L10" s="379"/>
      <c r="M10" s="379"/>
      <c r="N10" s="379"/>
      <c r="O10" s="379"/>
      <c r="P10" s="379"/>
      <c r="Q10" s="379"/>
      <c r="R10" s="1374" t="s">
        <v>491</v>
      </c>
      <c r="S10" s="1375" t="s">
        <v>653</v>
      </c>
      <c r="T10" s="352"/>
      <c r="U10" s="352"/>
      <c r="V10" s="352"/>
      <c r="W10" s="352"/>
      <c r="X10" s="379"/>
      <c r="Y10" s="379"/>
      <c r="Z10" s="379"/>
      <c r="AA10" s="379"/>
      <c r="AB10" s="379"/>
      <c r="AC10" s="379"/>
      <c r="AD10" s="379"/>
      <c r="AE10" s="379"/>
      <c r="AF10" s="379"/>
      <c r="AG10" s="379"/>
      <c r="AH10" s="379"/>
    </row>
    <row r="11" spans="1:36" s="380" customFormat="1" ht="18.75" customHeight="1">
      <c r="A11" s="379"/>
      <c r="B11" s="1688" t="s">
        <v>197</v>
      </c>
      <c r="C11" s="406" t="s">
        <v>199</v>
      </c>
      <c r="D11" s="573"/>
      <c r="E11" s="407"/>
      <c r="F11" s="407"/>
      <c r="G11" s="407"/>
      <c r="H11" s="407"/>
      <c r="I11" s="407"/>
      <c r="J11" s="407"/>
      <c r="K11" s="407"/>
      <c r="L11" s="407"/>
      <c r="M11" s="408"/>
      <c r="N11" s="411" t="s">
        <v>200</v>
      </c>
      <c r="O11" s="412"/>
      <c r="P11" s="579"/>
      <c r="Q11" s="412"/>
      <c r="R11" s="412"/>
      <c r="S11" s="412"/>
      <c r="T11" s="412"/>
      <c r="U11" s="413"/>
      <c r="V11" s="384"/>
      <c r="W11" s="384"/>
      <c r="X11" s="384"/>
      <c r="Y11" s="358"/>
      <c r="Z11" s="384"/>
      <c r="AA11" s="413"/>
      <c r="AB11" s="413"/>
      <c r="AC11" s="612" t="s">
        <v>210</v>
      </c>
      <c r="AD11" s="613"/>
      <c r="AE11" s="379"/>
      <c r="AF11" s="379"/>
      <c r="AG11" s="379"/>
    </row>
    <row r="12" spans="1:36" s="380" customFormat="1" ht="18.75" customHeight="1">
      <c r="A12" s="379"/>
      <c r="B12" s="1689"/>
      <c r="C12" s="403"/>
      <c r="D12" s="574"/>
      <c r="E12" s="404"/>
      <c r="F12" s="404"/>
      <c r="G12" s="404"/>
      <c r="H12" s="404"/>
      <c r="I12" s="404"/>
      <c r="J12" s="404"/>
      <c r="K12" s="404"/>
      <c r="L12" s="404"/>
      <c r="M12" s="405"/>
      <c r="N12" s="409"/>
      <c r="O12" s="410"/>
      <c r="P12" s="580" t="s">
        <v>861</v>
      </c>
      <c r="Q12" s="358"/>
      <c r="R12" s="358"/>
      <c r="S12" s="358"/>
      <c r="T12" s="358"/>
      <c r="U12" s="608"/>
      <c r="V12" s="384"/>
      <c r="W12" s="384"/>
      <c r="X12" s="357" t="s">
        <v>862</v>
      </c>
      <c r="Y12" s="358"/>
      <c r="Z12" s="384"/>
      <c r="AA12" s="413"/>
      <c r="AB12" s="413"/>
      <c r="AC12" s="614"/>
      <c r="AD12" s="615"/>
      <c r="AE12" s="379"/>
      <c r="AF12" s="379"/>
      <c r="AG12" s="379"/>
    </row>
    <row r="13" spans="1:36" s="378" customFormat="1" ht="30" customHeight="1">
      <c r="A13" s="308"/>
      <c r="B13" s="1690"/>
      <c r="C13" s="125" t="s">
        <v>612</v>
      </c>
      <c r="D13" s="125" t="s">
        <v>809</v>
      </c>
      <c r="E13" s="314" t="s">
        <v>637</v>
      </c>
      <c r="F13" s="314" t="s">
        <v>819</v>
      </c>
      <c r="G13" s="314" t="s">
        <v>824</v>
      </c>
      <c r="H13" s="45" t="s">
        <v>792</v>
      </c>
      <c r="I13" s="45" t="s">
        <v>639</v>
      </c>
      <c r="J13" s="125" t="s">
        <v>818</v>
      </c>
      <c r="K13" s="125" t="s">
        <v>791</v>
      </c>
      <c r="L13" s="125" t="s">
        <v>642</v>
      </c>
      <c r="M13" s="125" t="s">
        <v>205</v>
      </c>
      <c r="N13" s="131" t="s">
        <v>612</v>
      </c>
      <c r="O13" s="131" t="s">
        <v>804</v>
      </c>
      <c r="P13" s="581" t="s">
        <v>796</v>
      </c>
      <c r="Q13" s="131" t="s">
        <v>819</v>
      </c>
      <c r="R13" s="131" t="s">
        <v>822</v>
      </c>
      <c r="S13" s="131" t="s">
        <v>792</v>
      </c>
      <c r="T13" s="131" t="s">
        <v>848</v>
      </c>
      <c r="U13" s="131" t="s">
        <v>641</v>
      </c>
      <c r="V13" s="131" t="s">
        <v>642</v>
      </c>
      <c r="W13" s="131" t="s">
        <v>205</v>
      </c>
      <c r="X13" s="131" t="s">
        <v>1127</v>
      </c>
      <c r="Y13" s="131" t="s">
        <v>646</v>
      </c>
      <c r="Z13" s="131" t="s">
        <v>648</v>
      </c>
      <c r="AA13" s="131" t="s">
        <v>650</v>
      </c>
      <c r="AB13" s="131" t="s">
        <v>205</v>
      </c>
      <c r="AC13" s="553" t="s">
        <v>793</v>
      </c>
      <c r="AD13" s="553" t="s">
        <v>872</v>
      </c>
      <c r="AE13" s="308"/>
      <c r="AF13" s="308"/>
      <c r="AG13" s="308"/>
    </row>
    <row r="14" spans="1:36" s="354" customFormat="1" ht="18.75" customHeight="1">
      <c r="A14" s="352"/>
      <c r="B14" s="364" t="s">
        <v>198</v>
      </c>
      <c r="C14" s="42" t="s">
        <v>45</v>
      </c>
      <c r="D14" s="316"/>
      <c r="E14" s="290" t="s">
        <v>108</v>
      </c>
      <c r="F14" s="534" t="s">
        <v>821</v>
      </c>
      <c r="G14" s="534" t="s">
        <v>823</v>
      </c>
      <c r="H14" s="290" t="s">
        <v>53</v>
      </c>
      <c r="I14" s="290" t="s">
        <v>516</v>
      </c>
      <c r="J14" s="290" t="s">
        <v>6</v>
      </c>
      <c r="K14" s="290" t="s">
        <v>90</v>
      </c>
      <c r="L14" s="290" t="s">
        <v>42</v>
      </c>
      <c r="M14" s="125" t="s">
        <v>374</v>
      </c>
      <c r="N14" s="87" t="s">
        <v>45</v>
      </c>
      <c r="O14" s="87" t="s">
        <v>45</v>
      </c>
      <c r="P14" s="454" t="s">
        <v>108</v>
      </c>
      <c r="Q14" s="87" t="s">
        <v>820</v>
      </c>
      <c r="R14" s="87" t="s">
        <v>823</v>
      </c>
      <c r="S14" s="87" t="s">
        <v>825</v>
      </c>
      <c r="T14" s="87" t="s">
        <v>849</v>
      </c>
      <c r="U14" s="131" t="s">
        <v>6</v>
      </c>
      <c r="V14" s="131" t="s">
        <v>42</v>
      </c>
      <c r="W14" s="131" t="s">
        <v>374</v>
      </c>
      <c r="X14" s="87" t="s">
        <v>516</v>
      </c>
      <c r="Y14" s="131" t="s">
        <v>647</v>
      </c>
      <c r="Z14" s="362" t="s">
        <v>649</v>
      </c>
      <c r="AA14" s="362" t="s">
        <v>42</v>
      </c>
      <c r="AB14" s="131" t="s">
        <v>374</v>
      </c>
      <c r="AC14" s="553" t="s">
        <v>374</v>
      </c>
      <c r="AD14" s="553" t="s">
        <v>873</v>
      </c>
      <c r="AE14" s="352"/>
      <c r="AF14" s="352"/>
      <c r="AG14" s="352"/>
    </row>
    <row r="15" spans="1:36" s="375" customFormat="1" ht="18.75" customHeight="1" thickBot="1">
      <c r="A15" s="353"/>
      <c r="B15" s="946" t="s">
        <v>77</v>
      </c>
      <c r="C15" s="936" t="s">
        <v>813</v>
      </c>
      <c r="D15" s="1196" t="s">
        <v>805</v>
      </c>
      <c r="E15" s="1337">
        <v>75</v>
      </c>
      <c r="F15" s="1337">
        <v>8</v>
      </c>
      <c r="G15" s="1338">
        <v>220</v>
      </c>
      <c r="H15" s="1339">
        <f>IFERROR(IF(F15*G15=0, "", F15*G15), "")</f>
        <v>1760</v>
      </c>
      <c r="I15" s="1340">
        <v>75</v>
      </c>
      <c r="J15" s="1218">
        <f>IF(OR(E15="", H15="", I15=""), "", E15*H15*I15/100)</f>
        <v>99000</v>
      </c>
      <c r="K15" s="1310">
        <f>IF(OR(J15=0, J15=""), "", 【共通】事業所の光熱費!$H$6)</f>
        <v>0</v>
      </c>
      <c r="L15" s="1311">
        <f>IF(OR(J15="", K15=""), "", J15*K15)</f>
        <v>0</v>
      </c>
      <c r="M15" s="1191">
        <f>IFERROR(J15*'(参考)排出係数'!$F$3, "")</f>
        <v>42570</v>
      </c>
      <c r="N15" s="936" t="str">
        <f>IF(C15="", "", C15)</f>
        <v>コンプレッサーA</v>
      </c>
      <c r="O15" s="1196" t="s">
        <v>643</v>
      </c>
      <c r="P15" s="1187">
        <v>70</v>
      </c>
      <c r="Q15" s="1187">
        <v>8</v>
      </c>
      <c r="R15" s="947">
        <v>220</v>
      </c>
      <c r="S15" s="951">
        <f>IFERROR(IF(Q15*R15=0, "", Q15*R15), "")</f>
        <v>1760</v>
      </c>
      <c r="T15" s="947">
        <v>75</v>
      </c>
      <c r="U15" s="1218">
        <f>IF(OR($O15="ガス式", P15="", S15="", T15=""), "", IFERROR(P15*S15*T15/100, ""))</f>
        <v>92400</v>
      </c>
      <c r="V15" s="1224" t="str">
        <f>IF(OR(U15="", U15=0, 【共通】事業所の光熱費!$H$6="", 【共通】事業所の光熱費!$H$6=0), "", IFERROR(U15*【共通】事業所の光熱費!$H$6, ""))</f>
        <v/>
      </c>
      <c r="W15" s="1191">
        <f>IF(OR(U15="", U15=0, '(参考)排出係数'!$F$3="", '(参考)排出係数'!$F$3=0), "", IFERROR(U15*'(参考)排出係数'!$F$3, ""))</f>
        <v>39732</v>
      </c>
      <c r="X15" s="1232"/>
      <c r="Y15" s="1191" t="str">
        <f>IF($O15="ガス式", IF(J15="", "", J15*X15/100*3.6), "")</f>
        <v/>
      </c>
      <c r="Z15" s="1191" t="str">
        <f>IFERROR(IF(AND($R$10="都市ガス",$S$10="13A"),Y15/$R$4,IF(AND($R$10="都市ガス",$S$10="12A"),Y15/$R$5,IF($R$10="液化石油ガス",Y15/$R$6,""))),"")</f>
        <v/>
      </c>
      <c r="AA15" s="1341" t="str">
        <f>IFERROR(IF($R$10="都市ガス",Z15*【共通】事業所の光熱費!$H$9,IF($R$10="液化石油ガス",Z15*【共通】事業所の光熱費!$H$10,"")),"")</f>
        <v/>
      </c>
      <c r="AB15" s="1191" t="str" cm="1">
        <f t="array" ref="AB15">IFERROR(Z15 * _xlfn.IFS($R$10="都市ガス", '(参考)排出係数'!$F$14, $R$10="液化石油ガス", '(参考)排出係数'!$F$12), "")</f>
        <v/>
      </c>
      <c r="AC15" s="1191" cm="1">
        <f t="array" ref="AC15">IFERROR(IF(_xlfn.IFS($O15="電気式", M15-W15, $O15="ガス式", M15-AB15, TRUE, 0)=0, "", _xlfn.IFS($O15="電気式", M15-W15, $O15="ガス式", M15-AB15, TRUE, 0)), "")</f>
        <v>2838</v>
      </c>
      <c r="AD15" s="1341">
        <f>IFERROR(L15-SUM(V15,AA15),"")</f>
        <v>0</v>
      </c>
      <c r="AE15" s="353"/>
      <c r="AF15" s="353"/>
      <c r="AG15" s="353"/>
    </row>
    <row r="16" spans="1:36" s="504" customFormat="1" ht="18.75" customHeight="1" thickTop="1" thickBot="1">
      <c r="A16" s="496"/>
      <c r="B16" s="949" t="s">
        <v>224</v>
      </c>
      <c r="C16" s="1315"/>
      <c r="D16" s="1335"/>
      <c r="E16" s="1342"/>
      <c r="F16" s="1342"/>
      <c r="G16" s="1343"/>
      <c r="H16" s="1336"/>
      <c r="I16" s="1320"/>
      <c r="J16" s="1344">
        <f t="shared" ref="J16" si="0">SUM(J17:J26)</f>
        <v>0</v>
      </c>
      <c r="K16" s="1344">
        <f>SUM(K17:K26)</f>
        <v>0</v>
      </c>
      <c r="L16" s="1345">
        <f>SUM(L17:L26)</f>
        <v>0</v>
      </c>
      <c r="M16" s="1344">
        <f>SUM(M17:M26)</f>
        <v>0</v>
      </c>
      <c r="N16" s="1315"/>
      <c r="O16" s="1315"/>
      <c r="P16" s="1316"/>
      <c r="Q16" s="1316"/>
      <c r="R16" s="956"/>
      <c r="S16" s="956"/>
      <c r="T16" s="956"/>
      <c r="U16" s="1318">
        <f>SUM(U17:U26)</f>
        <v>0</v>
      </c>
      <c r="V16" s="1319">
        <f t="shared" ref="V16" si="1">SUM(V17:V26)</f>
        <v>0</v>
      </c>
      <c r="W16" s="1318">
        <f>SUM(W17:W26)</f>
        <v>0</v>
      </c>
      <c r="X16" s="1408"/>
      <c r="Y16" s="1346">
        <f>SUM(Y17:Y26)</f>
        <v>0</v>
      </c>
      <c r="Z16" s="1346">
        <f>SUM(Z17:Z26)</f>
        <v>0</v>
      </c>
      <c r="AA16" s="1347">
        <f>SUM(AA17:AA26)</f>
        <v>0</v>
      </c>
      <c r="AB16" s="1346">
        <f>SUM(AB17:AB26)</f>
        <v>0</v>
      </c>
      <c r="AC16" s="1318">
        <f>SUM(AC17:AC26)</f>
        <v>0</v>
      </c>
      <c r="AD16" s="1348">
        <f t="shared" ref="AD16:AD26" si="2">IFERROR(L16-SUM(V16,AA16),"")</f>
        <v>0</v>
      </c>
      <c r="AE16" s="496"/>
      <c r="AF16" s="496"/>
      <c r="AG16" s="496"/>
    </row>
    <row r="17" spans="1:33" s="504" customFormat="1" ht="18.75" customHeight="1" thickTop="1">
      <c r="A17" s="496"/>
      <c r="B17" s="371" t="s">
        <v>315</v>
      </c>
      <c r="C17" s="1144"/>
      <c r="D17" s="1324"/>
      <c r="E17" s="1349"/>
      <c r="F17" s="1349"/>
      <c r="G17" s="1350"/>
      <c r="H17" s="1351" t="str">
        <f t="shared" ref="H17:H26" si="3">IFERROR(IF(F17*G17=0, "", F17*G17), "")</f>
        <v/>
      </c>
      <c r="I17" s="953"/>
      <c r="J17" s="1219" t="str">
        <f>IF(OR(E17="", H17="", I17=""), "", E17*H17*I17/100)</f>
        <v/>
      </c>
      <c r="K17" s="1171" t="str">
        <f>IF(OR(J17=0, J17=""), "", 【共通】事業所の光熱費!$H$6)</f>
        <v/>
      </c>
      <c r="L17" s="1327" t="str">
        <f t="shared" ref="L17:L26" si="4">IF(OR(J17="", K17=""), "", J17*K17)</f>
        <v/>
      </c>
      <c r="M17" s="1193" t="str">
        <f>IFERROR(J17*'(参考)排出係数'!$F$3, "")</f>
        <v/>
      </c>
      <c r="N17" s="1287"/>
      <c r="O17" s="1324"/>
      <c r="P17" s="1134"/>
      <c r="Q17" s="1134"/>
      <c r="R17" s="953"/>
      <c r="S17" s="954" t="str">
        <f t="shared" ref="S17" si="5">IFERROR(IF(Q17*R17=0, "", Q17*R17), "")</f>
        <v/>
      </c>
      <c r="T17" s="955"/>
      <c r="U17" s="1219" t="str">
        <f t="shared" ref="U17:U26" si="6">IF(OR($O17="ガス式", P17="", S17="", T17=""), "", IFERROR(P17*S17*T17/100, ""))</f>
        <v/>
      </c>
      <c r="V17" s="1294" t="str">
        <f>IF(OR(U17="", U17=0, 【共通】事業所の光熱費!$H$6="", 【共通】事業所の光熱費!$H$6=0), "", IFERROR(U17*【共通】事業所の光熱費!$H$6, ""))</f>
        <v/>
      </c>
      <c r="W17" s="1193" t="str">
        <f>IF(OR(U17="", U17=0, '(参考)排出係数'!$F$3="", '(参考)排出係数'!$F$3=0), "", IFERROR(U17*'(参考)排出係数'!$F$3, ""))</f>
        <v/>
      </c>
      <c r="X17" s="1352"/>
      <c r="Y17" s="1168" t="str">
        <f t="shared" ref="Y17:Y26" si="7">IF($O17="ガス式", IF(J17="", "", J17*X17/100*3.6), "")</f>
        <v/>
      </c>
      <c r="Z17" s="1168" t="str">
        <f>IFERROR(IF(AND($R$10="都市ガス",$S$10="13A"),Y17/$R$4,IF(AND($R$10="都市ガス",$S$10="12A"),Y17/$R$5,IF($R$10="液化石油ガス",Y17/$R$6,""))),"")</f>
        <v/>
      </c>
      <c r="AA17" s="1325" t="str">
        <f>IFERROR(IF($R$10="都市ガス",Z17*【共通】事業所の光熱費!$H$9,IF($R$10="液化石油ガス",Z17*【共通】事業所の光熱費!$H$10,"")),"")</f>
        <v/>
      </c>
      <c r="AB17" s="1168" t="str" cm="1">
        <f t="array" ref="AB17">IFERROR(Z17 * _xlfn.IFS($R$10="都市ガス", '(参考)排出係数'!$F$14, $R$10="液化石油ガス", '(参考)排出係数'!$F$12), "")</f>
        <v/>
      </c>
      <c r="AC17" s="1193" t="str" cm="1">
        <f t="array" ref="AC17">IFERROR(IF(_xlfn.IFS($O17="電気式", M17-W17, $O17="ガス式", M17-AB17, TRUE, 0)=0, "", _xlfn.IFS($O17="電気式", M17-W17, $O17="ガス式", M17-AB17, TRUE, 0)), "")</f>
        <v/>
      </c>
      <c r="AD17" s="1353" t="str">
        <f t="shared" si="2"/>
        <v/>
      </c>
      <c r="AE17" s="496"/>
      <c r="AF17" s="496"/>
      <c r="AG17" s="496"/>
    </row>
    <row r="18" spans="1:33" s="354" customFormat="1" ht="18.75" customHeight="1">
      <c r="A18" s="352"/>
      <c r="B18" s="371" t="s">
        <v>316</v>
      </c>
      <c r="C18" s="1145"/>
      <c r="D18" s="1331"/>
      <c r="E18" s="1354"/>
      <c r="F18" s="1354"/>
      <c r="G18" s="1355"/>
      <c r="H18" s="1356" t="str">
        <f t="shared" si="3"/>
        <v/>
      </c>
      <c r="I18" s="582" t="str">
        <f>IFERROR(IF(#REF!="定速機（吸込絞り・アンロード制御）", 80, IF(#REF!="インバータ機", 60, "")), "")</f>
        <v/>
      </c>
      <c r="J18" s="1220" t="str">
        <f t="shared" ref="J18:J26" si="8">IF(OR(E18="", H18="", I18=""), "", E18*H18*I18/100)</f>
        <v/>
      </c>
      <c r="K18" s="873" t="str">
        <f>IF(OR(J18=0, J18=""), "", 【共通】事業所の光熱費!$H$6)</f>
        <v/>
      </c>
      <c r="L18" s="874" t="str">
        <f t="shared" si="4"/>
        <v/>
      </c>
      <c r="M18" s="1194" t="str">
        <f>IFERROR(J18*'(参考)排出係数'!$F$3, "")</f>
        <v/>
      </c>
      <c r="N18" s="1288" t="str">
        <f t="shared" ref="N18:N26" si="9">IF(C18="", "", C18)</f>
        <v/>
      </c>
      <c r="O18" s="1331"/>
      <c r="P18" s="1135"/>
      <c r="Q18" s="1135"/>
      <c r="R18" s="582"/>
      <c r="S18" s="611" t="str">
        <f t="shared" ref="S18:S26" si="10">IFERROR(IF(Q18*R18=0, "", Q18*R18), "")</f>
        <v/>
      </c>
      <c r="T18" s="586"/>
      <c r="U18" s="1220" t="str">
        <f t="shared" si="6"/>
        <v/>
      </c>
      <c r="V18" s="1295" t="str">
        <f>IF(OR(U18="", U18=0, 【共通】事業所の光熱費!$H$6="", 【共通】事業所の光熱費!$H$6=0), "", IFERROR(U18*【共通】事業所の光熱費!$H$6, ""))</f>
        <v/>
      </c>
      <c r="W18" s="1194" t="str">
        <f>IF(OR(U18="", U18=0, '(参考)排出係数'!$F$3="", '(参考)排出係数'!$F$3=0), "", IFERROR(U18*'(参考)排出係数'!$F$3, ""))</f>
        <v/>
      </c>
      <c r="X18" s="1357"/>
      <c r="Y18" s="1194" t="str">
        <f t="shared" si="7"/>
        <v/>
      </c>
      <c r="Z18" s="1194" t="str">
        <f t="shared" ref="Z18:Z26" si="11">IFERROR(IF(AND($R$10="都市ガス",$S$10="13A"),Y18/$R$4,IF(AND($R$10="都市ガス",$S$10="12A"),Y18/$R$5,IF($R$10="液化石油ガス",Y18/$R$6,""))),"")</f>
        <v/>
      </c>
      <c r="AA18" s="1358" t="str">
        <f>IFERROR(IF($R$10="都市ガス",Z18*【共通】事業所の光熱費!$H$9,IF($R$10="液化石油ガス",Z18*【共通】事業所の光熱費!$H$10,"")),"")</f>
        <v/>
      </c>
      <c r="AB18" s="1194" t="str" cm="1">
        <f t="array" ref="AB18">IFERROR(Z18 * _xlfn.IFS($R$10="都市ガス", '(参考)排出係数'!$F$14, $R$10="液化石油ガス", '(参考)排出係数'!$F$12), "")</f>
        <v/>
      </c>
      <c r="AC18" s="1194" t="str" cm="1">
        <f t="array" ref="AC18">IFERROR(IF(_xlfn.IFS($O18="電気式", M18-W18, $O18="ガス式", M18-AB18, TRUE, 0)=0, "", _xlfn.IFS($O18="電気式", M18-W18, $O18="ガス式", M18-AB18, TRUE, 0)), "")</f>
        <v/>
      </c>
      <c r="AD18" s="1358" t="str">
        <f t="shared" si="2"/>
        <v/>
      </c>
      <c r="AE18" s="352"/>
      <c r="AF18" s="496"/>
      <c r="AG18" s="352"/>
    </row>
    <row r="19" spans="1:33" s="354" customFormat="1" ht="18.75" customHeight="1">
      <c r="A19" s="352"/>
      <c r="B19" s="371" t="s">
        <v>317</v>
      </c>
      <c r="C19" s="1145"/>
      <c r="D19" s="1331"/>
      <c r="E19" s="1354"/>
      <c r="F19" s="1354"/>
      <c r="G19" s="1355"/>
      <c r="H19" s="1356" t="str">
        <f t="shared" si="3"/>
        <v/>
      </c>
      <c r="I19" s="582" t="str">
        <f>IFERROR(IF(#REF!="定速機（吸込絞り・アンロード制御）", 80, IF(#REF!="インバータ機", 60, "")), "")</f>
        <v/>
      </c>
      <c r="J19" s="1220" t="str">
        <f t="shared" si="8"/>
        <v/>
      </c>
      <c r="K19" s="873" t="str">
        <f>IF(OR(J19=0, J19=""), "", 【共通】事業所の光熱費!$H$6)</f>
        <v/>
      </c>
      <c r="L19" s="874" t="str">
        <f t="shared" si="4"/>
        <v/>
      </c>
      <c r="M19" s="1194" t="str">
        <f>IFERROR(J19*'(参考)排出係数'!$F$3, "")</f>
        <v/>
      </c>
      <c r="N19" s="1288" t="str">
        <f t="shared" si="9"/>
        <v/>
      </c>
      <c r="O19" s="1331"/>
      <c r="P19" s="1135"/>
      <c r="Q19" s="1135"/>
      <c r="R19" s="582"/>
      <c r="S19" s="611" t="str">
        <f t="shared" si="10"/>
        <v/>
      </c>
      <c r="T19" s="586" t="str">
        <f t="shared" ref="T19:T26" si="12">I19</f>
        <v/>
      </c>
      <c r="U19" s="1220" t="str">
        <f t="shared" si="6"/>
        <v/>
      </c>
      <c r="V19" s="1295" t="str">
        <f>IF(OR(U19="", U19=0, 【共通】事業所の光熱費!$H$6="", 【共通】事業所の光熱費!$H$6=0), "", IFERROR(U19*【共通】事業所の光熱費!$H$6, ""))</f>
        <v/>
      </c>
      <c r="W19" s="1194" t="str">
        <f>IF(OR(U19="", U19=0, '(参考)排出係数'!$F$3="", '(参考)排出係数'!$F$3=0), "", IFERROR(U19*'(参考)排出係数'!$F$3, ""))</f>
        <v/>
      </c>
      <c r="X19" s="1357"/>
      <c r="Y19" s="1194" t="str">
        <f t="shared" si="7"/>
        <v/>
      </c>
      <c r="Z19" s="1194" t="str">
        <f t="shared" si="11"/>
        <v/>
      </c>
      <c r="AA19" s="1358" t="str">
        <f>IFERROR(IF($R$10="都市ガス",Z19*【共通】事業所の光熱費!$H$9,IF($R$10="液化石油ガス",Z19*【共通】事業所の光熱費!$H$10,"")),"")</f>
        <v/>
      </c>
      <c r="AB19" s="1194" t="str" cm="1">
        <f t="array" ref="AB19">IFERROR(Z19 * _xlfn.IFS($R$10="都市ガス", '(参考)排出係数'!$F$14, $R$10="液化石油ガス", '(参考)排出係数'!$F$12), "")</f>
        <v/>
      </c>
      <c r="AC19" s="1194" t="str" cm="1">
        <f t="array" ref="AC19">IFERROR(IF(_xlfn.IFS($O19="電気式", M19-W19, $O19="ガス式", M19-AB19, TRUE, 0)=0, "", _xlfn.IFS($O19="電気式", M19-W19, $O19="ガス式", M19-AB19, TRUE, 0)), "")</f>
        <v/>
      </c>
      <c r="AD19" s="1358" t="str">
        <f t="shared" si="2"/>
        <v/>
      </c>
      <c r="AE19" s="352"/>
      <c r="AF19" s="496"/>
      <c r="AG19" s="352"/>
    </row>
    <row r="20" spans="1:33" s="354" customFormat="1" ht="18.75" customHeight="1">
      <c r="A20" s="352"/>
      <c r="B20" s="371" t="s">
        <v>318</v>
      </c>
      <c r="C20" s="1145"/>
      <c r="D20" s="1331"/>
      <c r="E20" s="1354"/>
      <c r="F20" s="1354"/>
      <c r="G20" s="1355"/>
      <c r="H20" s="1356" t="str">
        <f t="shared" si="3"/>
        <v/>
      </c>
      <c r="I20" s="582" t="str">
        <f>IFERROR(IF(#REF!="定速機（吸込絞り・アンロード制御）", 80, IF(#REF!="インバータ機", 60, "")), "")</f>
        <v/>
      </c>
      <c r="J20" s="1220" t="str">
        <f t="shared" si="8"/>
        <v/>
      </c>
      <c r="K20" s="873" t="str">
        <f>IF(OR(J20=0, J20=""), "", 【共通】事業所の光熱費!$H$6)</f>
        <v/>
      </c>
      <c r="L20" s="874" t="str">
        <f t="shared" si="4"/>
        <v/>
      </c>
      <c r="M20" s="1194" t="str">
        <f>IFERROR(J20*'(参考)排出係数'!$F$3, "")</f>
        <v/>
      </c>
      <c r="N20" s="1288" t="str">
        <f t="shared" si="9"/>
        <v/>
      </c>
      <c r="O20" s="1331"/>
      <c r="P20" s="1135"/>
      <c r="Q20" s="1135"/>
      <c r="R20" s="582"/>
      <c r="S20" s="611" t="str">
        <f t="shared" si="10"/>
        <v/>
      </c>
      <c r="T20" s="586" t="str">
        <f t="shared" si="12"/>
        <v/>
      </c>
      <c r="U20" s="1220" t="str">
        <f t="shared" si="6"/>
        <v/>
      </c>
      <c r="V20" s="1295" t="str">
        <f>IF(OR(U20="", U20=0, 【共通】事業所の光熱費!$H$6="", 【共通】事業所の光熱費!$H$6=0), "", IFERROR(U20*【共通】事業所の光熱費!$H$6, ""))</f>
        <v/>
      </c>
      <c r="W20" s="1194" t="str">
        <f>IF(OR(U20="", U20=0, '(参考)排出係数'!$F$3="", '(参考)排出係数'!$F$3=0), "", IFERROR(U20*'(参考)排出係数'!$F$3, ""))</f>
        <v/>
      </c>
      <c r="X20" s="1357"/>
      <c r="Y20" s="1194" t="str">
        <f t="shared" si="7"/>
        <v/>
      </c>
      <c r="Z20" s="1194" t="str">
        <f t="shared" si="11"/>
        <v/>
      </c>
      <c r="AA20" s="1358" t="str">
        <f>IFERROR(IF($R$10="都市ガス",Z20*【共通】事業所の光熱費!$H$9,IF($R$10="液化石油ガス",Z20*【共通】事業所の光熱費!$H$10,"")),"")</f>
        <v/>
      </c>
      <c r="AB20" s="1194" t="str" cm="1">
        <f t="array" ref="AB20">IFERROR(Z20 * _xlfn.IFS($R$10="都市ガス", '(参考)排出係数'!$F$14, $R$10="液化石油ガス", '(参考)排出係数'!$F$12), "")</f>
        <v/>
      </c>
      <c r="AC20" s="1194" t="str" cm="1">
        <f t="array" ref="AC20">IFERROR(IF(_xlfn.IFS($O20="電気式", M20-W20, $O20="ガス式", M20-AB20, TRUE, 0)=0, "", _xlfn.IFS($O20="電気式", M20-W20, $O20="ガス式", M20-AB20, TRUE, 0)), "")</f>
        <v/>
      </c>
      <c r="AD20" s="1358" t="str">
        <f t="shared" si="2"/>
        <v/>
      </c>
      <c r="AE20" s="352"/>
      <c r="AF20" s="496"/>
      <c r="AG20" s="352"/>
    </row>
    <row r="21" spans="1:33" s="354" customFormat="1" ht="18.75" customHeight="1">
      <c r="A21" s="352"/>
      <c r="B21" s="371" t="s">
        <v>319</v>
      </c>
      <c r="C21" s="1145"/>
      <c r="D21" s="1331"/>
      <c r="E21" s="1354"/>
      <c r="F21" s="1354"/>
      <c r="G21" s="1355"/>
      <c r="H21" s="1356" t="str">
        <f t="shared" si="3"/>
        <v/>
      </c>
      <c r="I21" s="582" t="str">
        <f>IFERROR(IF(#REF!="定速機（吸込絞り・アンロード制御）", 80, IF(#REF!="インバータ機", 60, "")), "")</f>
        <v/>
      </c>
      <c r="J21" s="1220" t="str">
        <f t="shared" si="8"/>
        <v/>
      </c>
      <c r="K21" s="873" t="str">
        <f>IF(OR(J21=0, J21=""), "", 【共通】事業所の光熱費!$H$6)</f>
        <v/>
      </c>
      <c r="L21" s="874" t="str">
        <f t="shared" si="4"/>
        <v/>
      </c>
      <c r="M21" s="1194" t="str">
        <f>IFERROR(J21*'(参考)排出係数'!$F$3, "")</f>
        <v/>
      </c>
      <c r="N21" s="1288" t="str">
        <f t="shared" si="9"/>
        <v/>
      </c>
      <c r="O21" s="1331"/>
      <c r="P21" s="1135"/>
      <c r="Q21" s="1135"/>
      <c r="R21" s="582"/>
      <c r="S21" s="611" t="str">
        <f t="shared" si="10"/>
        <v/>
      </c>
      <c r="T21" s="586" t="str">
        <f t="shared" si="12"/>
        <v/>
      </c>
      <c r="U21" s="1220" t="str">
        <f t="shared" si="6"/>
        <v/>
      </c>
      <c r="V21" s="1295" t="str">
        <f>IF(OR(U21="", U21=0, 【共通】事業所の光熱費!$H$6="", 【共通】事業所の光熱費!$H$6=0), "", IFERROR(U21*【共通】事業所の光熱費!$H$6, ""))</f>
        <v/>
      </c>
      <c r="W21" s="1194" t="str">
        <f>IF(OR(U21="", U21=0, '(参考)排出係数'!$F$3="", '(参考)排出係数'!$F$3=0), "", IFERROR(U21*'(参考)排出係数'!$F$3, ""))</f>
        <v/>
      </c>
      <c r="X21" s="1357"/>
      <c r="Y21" s="1194" t="str">
        <f t="shared" si="7"/>
        <v/>
      </c>
      <c r="Z21" s="1194" t="str">
        <f t="shared" si="11"/>
        <v/>
      </c>
      <c r="AA21" s="1358" t="str">
        <f>IFERROR(IF($R$10="都市ガス",Z21*【共通】事業所の光熱費!$H$9,IF($R$10="液化石油ガス",Z21*【共通】事業所の光熱費!$H$10,"")),"")</f>
        <v/>
      </c>
      <c r="AB21" s="1194" t="str" cm="1">
        <f t="array" ref="AB21">IFERROR(Z21 * _xlfn.IFS($R$10="都市ガス", '(参考)排出係数'!$F$14, $R$10="液化石油ガス", '(参考)排出係数'!$F$12), "")</f>
        <v/>
      </c>
      <c r="AC21" s="1194" t="str" cm="1">
        <f t="array" ref="AC21">IFERROR(IF(_xlfn.IFS($O21="電気式", M21-W21, $O21="ガス式", M21-AB21, TRUE, 0)=0, "", _xlfn.IFS($O21="電気式", M21-W21, $O21="ガス式", M21-AB21, TRUE, 0)), "")</f>
        <v/>
      </c>
      <c r="AD21" s="1358" t="str">
        <f t="shared" si="2"/>
        <v/>
      </c>
      <c r="AE21" s="352"/>
      <c r="AF21" s="496"/>
      <c r="AG21" s="352"/>
    </row>
    <row r="22" spans="1:33" s="354" customFormat="1" ht="18.75" customHeight="1">
      <c r="A22" s="352"/>
      <c r="B22" s="371" t="s">
        <v>320</v>
      </c>
      <c r="C22" s="1145"/>
      <c r="D22" s="1331"/>
      <c r="E22" s="1354"/>
      <c r="F22" s="1354"/>
      <c r="G22" s="1355"/>
      <c r="H22" s="1356" t="str">
        <f t="shared" si="3"/>
        <v/>
      </c>
      <c r="I22" s="582" t="str">
        <f>IFERROR(IF(#REF!="定速機（吸込絞り・アンロード制御）", 80, IF(#REF!="インバータ機", 60, "")), "")</f>
        <v/>
      </c>
      <c r="J22" s="1220" t="str">
        <f t="shared" si="8"/>
        <v/>
      </c>
      <c r="K22" s="873" t="str">
        <f>IF(OR(J22=0, J22=""), "", 【共通】事業所の光熱費!$H$6)</f>
        <v/>
      </c>
      <c r="L22" s="874" t="str">
        <f t="shared" si="4"/>
        <v/>
      </c>
      <c r="M22" s="1194" t="str">
        <f>IFERROR(J22*'(参考)排出係数'!$F$3, "")</f>
        <v/>
      </c>
      <c r="N22" s="1288" t="str">
        <f t="shared" si="9"/>
        <v/>
      </c>
      <c r="O22" s="1331"/>
      <c r="P22" s="1135"/>
      <c r="Q22" s="1135"/>
      <c r="R22" s="582"/>
      <c r="S22" s="611" t="str">
        <f t="shared" si="10"/>
        <v/>
      </c>
      <c r="T22" s="586" t="str">
        <f t="shared" si="12"/>
        <v/>
      </c>
      <c r="U22" s="1220" t="str">
        <f t="shared" si="6"/>
        <v/>
      </c>
      <c r="V22" s="1295" t="str">
        <f>IF(OR(U22="", U22=0, 【共通】事業所の光熱費!$H$6="", 【共通】事業所の光熱費!$H$6=0), "", IFERROR(U22*【共通】事業所の光熱費!$H$6, ""))</f>
        <v/>
      </c>
      <c r="W22" s="1194" t="str">
        <f>IF(OR(U22="", U22=0, '(参考)排出係数'!$F$3="", '(参考)排出係数'!$F$3=0), "", IFERROR(U22*'(参考)排出係数'!$F$3, ""))</f>
        <v/>
      </c>
      <c r="X22" s="1357"/>
      <c r="Y22" s="1194" t="str">
        <f t="shared" si="7"/>
        <v/>
      </c>
      <c r="Z22" s="1194" t="str">
        <f t="shared" si="11"/>
        <v/>
      </c>
      <c r="AA22" s="1358" t="str">
        <f>IFERROR(IF($R$10="都市ガス",Z22*【共通】事業所の光熱費!$H$9,IF($R$10="液化石油ガス",Z22*【共通】事業所の光熱費!$H$10,"")),"")</f>
        <v/>
      </c>
      <c r="AB22" s="1194" t="str" cm="1">
        <f t="array" ref="AB22">IFERROR(Z22 * _xlfn.IFS($R$10="都市ガス", '(参考)排出係数'!$F$14, $R$10="液化石油ガス", '(参考)排出係数'!$F$12), "")</f>
        <v/>
      </c>
      <c r="AC22" s="1194" t="str" cm="1">
        <f t="array" ref="AC22">IFERROR(IF(_xlfn.IFS($O22="電気式", M22-W22, $O22="ガス式", M22-AB22, TRUE, 0)=0, "", _xlfn.IFS($O22="電気式", M22-W22, $O22="ガス式", M22-AB22, TRUE, 0)), "")</f>
        <v/>
      </c>
      <c r="AD22" s="1358" t="str">
        <f t="shared" si="2"/>
        <v/>
      </c>
      <c r="AE22" s="352"/>
      <c r="AF22" s="496"/>
      <c r="AG22" s="352"/>
    </row>
    <row r="23" spans="1:33" s="354" customFormat="1" ht="18.75" customHeight="1">
      <c r="A23" s="352"/>
      <c r="B23" s="371" t="s">
        <v>321</v>
      </c>
      <c r="C23" s="1145"/>
      <c r="D23" s="1331"/>
      <c r="E23" s="1354"/>
      <c r="F23" s="1354"/>
      <c r="G23" s="1355"/>
      <c r="H23" s="1356" t="str">
        <f t="shared" si="3"/>
        <v/>
      </c>
      <c r="I23" s="582" t="str">
        <f>IFERROR(IF(#REF!="定速機（吸込絞り・アンロード制御）", 80, IF(#REF!="インバータ機", 60, "")), "")</f>
        <v/>
      </c>
      <c r="J23" s="1220" t="str">
        <f t="shared" si="8"/>
        <v/>
      </c>
      <c r="K23" s="873" t="str">
        <f>IF(OR(J23=0, J23=""), "", 【共通】事業所の光熱費!$H$6)</f>
        <v/>
      </c>
      <c r="L23" s="874" t="str">
        <f t="shared" si="4"/>
        <v/>
      </c>
      <c r="M23" s="1194" t="str">
        <f>IFERROR(J23*'(参考)排出係数'!$F$3, "")</f>
        <v/>
      </c>
      <c r="N23" s="1288" t="str">
        <f t="shared" si="9"/>
        <v/>
      </c>
      <c r="O23" s="1331"/>
      <c r="P23" s="1135"/>
      <c r="Q23" s="1135"/>
      <c r="R23" s="582"/>
      <c r="S23" s="611" t="str">
        <f t="shared" si="10"/>
        <v/>
      </c>
      <c r="T23" s="586" t="str">
        <f t="shared" si="12"/>
        <v/>
      </c>
      <c r="U23" s="1220" t="str">
        <f t="shared" si="6"/>
        <v/>
      </c>
      <c r="V23" s="1295" t="str">
        <f>IF(OR(U23="", U23=0, 【共通】事業所の光熱費!$H$6="", 【共通】事業所の光熱費!$H$6=0), "", IFERROR(U23*【共通】事業所の光熱費!$H$6, ""))</f>
        <v/>
      </c>
      <c r="W23" s="1194" t="str">
        <f>IF(OR(U23="", U23=0, '(参考)排出係数'!$F$3="", '(参考)排出係数'!$F$3=0), "", IFERROR(U23*'(参考)排出係数'!$F$3, ""))</f>
        <v/>
      </c>
      <c r="X23" s="1357"/>
      <c r="Y23" s="1194" t="str">
        <f t="shared" si="7"/>
        <v/>
      </c>
      <c r="Z23" s="1194" t="str">
        <f t="shared" si="11"/>
        <v/>
      </c>
      <c r="AA23" s="1358" t="str">
        <f>IFERROR(IF($R$10="都市ガス",Z23*【共通】事業所の光熱費!$H$9,IF($R$10="液化石油ガス",Z23*【共通】事業所の光熱費!$H$10,"")),"")</f>
        <v/>
      </c>
      <c r="AB23" s="1194" t="str" cm="1">
        <f t="array" ref="AB23">IFERROR(Z23 * _xlfn.IFS($R$10="都市ガス", '(参考)排出係数'!$F$14, $R$10="液化石油ガス", '(参考)排出係数'!$F$12), "")</f>
        <v/>
      </c>
      <c r="AC23" s="1194" t="str" cm="1">
        <f t="array" ref="AC23">IFERROR(IF(_xlfn.IFS($O23="電気式", M23-W23, $O23="ガス式", M23-AB23, TRUE, 0)=0, "", _xlfn.IFS($O23="電気式", M23-W23, $O23="ガス式", M23-AB23, TRUE, 0)), "")</f>
        <v/>
      </c>
      <c r="AD23" s="1358" t="str">
        <f t="shared" si="2"/>
        <v/>
      </c>
      <c r="AE23" s="352"/>
      <c r="AF23" s="496"/>
      <c r="AG23" s="352"/>
    </row>
    <row r="24" spans="1:33" s="354" customFormat="1" ht="18.75" customHeight="1">
      <c r="A24" s="352"/>
      <c r="B24" s="371" t="s">
        <v>322</v>
      </c>
      <c r="C24" s="1145"/>
      <c r="D24" s="1331"/>
      <c r="E24" s="1354"/>
      <c r="F24" s="1354"/>
      <c r="G24" s="1355"/>
      <c r="H24" s="1356" t="str">
        <f t="shared" si="3"/>
        <v/>
      </c>
      <c r="I24" s="582" t="str">
        <f>IFERROR(IF(#REF!="定速機（吸込絞り・アンロード制御）", 80, IF(#REF!="インバータ機", 60, "")), "")</f>
        <v/>
      </c>
      <c r="J24" s="1220" t="str">
        <f t="shared" si="8"/>
        <v/>
      </c>
      <c r="K24" s="873" t="str">
        <f>IF(OR(J24=0, J24=""), "", 【共通】事業所の光熱費!$H$6)</f>
        <v/>
      </c>
      <c r="L24" s="874" t="str">
        <f t="shared" si="4"/>
        <v/>
      </c>
      <c r="M24" s="1194" t="str">
        <f>IFERROR(J24*'(参考)排出係数'!$F$3, "")</f>
        <v/>
      </c>
      <c r="N24" s="1288" t="str">
        <f t="shared" si="9"/>
        <v/>
      </c>
      <c r="O24" s="1331"/>
      <c r="P24" s="1135"/>
      <c r="Q24" s="1135"/>
      <c r="R24" s="582"/>
      <c r="S24" s="611" t="str">
        <f t="shared" si="10"/>
        <v/>
      </c>
      <c r="T24" s="586" t="str">
        <f t="shared" si="12"/>
        <v/>
      </c>
      <c r="U24" s="1220" t="str">
        <f t="shared" si="6"/>
        <v/>
      </c>
      <c r="V24" s="1295" t="str">
        <f>IF(OR(U24="", U24=0, 【共通】事業所の光熱費!$H$6="", 【共通】事業所の光熱費!$H$6=0), "", IFERROR(U24*【共通】事業所の光熱費!$H$6, ""))</f>
        <v/>
      </c>
      <c r="W24" s="1194" t="str">
        <f>IF(OR(U24="", U24=0, '(参考)排出係数'!$F$3="", '(参考)排出係数'!$F$3=0), "", IFERROR(U24*'(参考)排出係数'!$F$3, ""))</f>
        <v/>
      </c>
      <c r="X24" s="1357"/>
      <c r="Y24" s="1194" t="str">
        <f t="shared" si="7"/>
        <v/>
      </c>
      <c r="Z24" s="1194" t="str">
        <f t="shared" si="11"/>
        <v/>
      </c>
      <c r="AA24" s="1358" t="str">
        <f>IFERROR(IF($R$10="都市ガス",Z24*【共通】事業所の光熱費!$H$9,IF($R$10="液化石油ガス",Z24*【共通】事業所の光熱費!$H$10,"")),"")</f>
        <v/>
      </c>
      <c r="AB24" s="1194" t="str" cm="1">
        <f t="array" ref="AB24">IFERROR(Z24 * _xlfn.IFS($R$10="都市ガス", '(参考)排出係数'!$F$14, $R$10="液化石油ガス", '(参考)排出係数'!$F$12), "")</f>
        <v/>
      </c>
      <c r="AC24" s="1194" t="str" cm="1">
        <f t="array" ref="AC24">IFERROR(IF(_xlfn.IFS($O24="電気式", M24-W24, $O24="ガス式", M24-AB24, TRUE, 0)=0, "", _xlfn.IFS($O24="電気式", M24-W24, $O24="ガス式", M24-AB24, TRUE, 0)), "")</f>
        <v/>
      </c>
      <c r="AD24" s="1358" t="str">
        <f t="shared" si="2"/>
        <v/>
      </c>
      <c r="AE24" s="352"/>
      <c r="AF24" s="496"/>
      <c r="AG24" s="352"/>
    </row>
    <row r="25" spans="1:33" s="354" customFormat="1" ht="18.75" customHeight="1">
      <c r="A25" s="352"/>
      <c r="B25" s="371" t="s">
        <v>323</v>
      </c>
      <c r="C25" s="1145"/>
      <c r="D25" s="1331"/>
      <c r="E25" s="1354"/>
      <c r="F25" s="1354"/>
      <c r="G25" s="1355"/>
      <c r="H25" s="1356" t="str">
        <f t="shared" si="3"/>
        <v/>
      </c>
      <c r="I25" s="582" t="str">
        <f>IFERROR(IF(#REF!="定速機（吸込絞り・アンロード制御）", 80, IF(#REF!="インバータ機", 60, "")), "")</f>
        <v/>
      </c>
      <c r="J25" s="1220" t="str">
        <f t="shared" si="8"/>
        <v/>
      </c>
      <c r="K25" s="873" t="str">
        <f>IF(OR(J25=0, J25=""), "", 【共通】事業所の光熱費!$H$6)</f>
        <v/>
      </c>
      <c r="L25" s="874" t="str">
        <f t="shared" si="4"/>
        <v/>
      </c>
      <c r="M25" s="1194" t="str">
        <f>IFERROR(J25*'(参考)排出係数'!$F$3, "")</f>
        <v/>
      </c>
      <c r="N25" s="1288" t="str">
        <f t="shared" si="9"/>
        <v/>
      </c>
      <c r="O25" s="1331"/>
      <c r="P25" s="1135"/>
      <c r="Q25" s="1135"/>
      <c r="R25" s="582"/>
      <c r="S25" s="611" t="str">
        <f t="shared" si="10"/>
        <v/>
      </c>
      <c r="T25" s="586" t="str">
        <f t="shared" si="12"/>
        <v/>
      </c>
      <c r="U25" s="1220" t="str">
        <f t="shared" si="6"/>
        <v/>
      </c>
      <c r="V25" s="1295" t="str">
        <f>IF(OR(U25="", U25=0, 【共通】事業所の光熱費!$H$6="", 【共通】事業所の光熱費!$H$6=0), "", IFERROR(U25*【共通】事業所の光熱費!$H$6, ""))</f>
        <v/>
      </c>
      <c r="W25" s="1194" t="str">
        <f>IF(OR(U25="", U25=0, '(参考)排出係数'!$F$3="", '(参考)排出係数'!$F$3=0), "", IFERROR(U25*'(参考)排出係数'!$F$3, ""))</f>
        <v/>
      </c>
      <c r="X25" s="1357"/>
      <c r="Y25" s="1194" t="str">
        <f t="shared" si="7"/>
        <v/>
      </c>
      <c r="Z25" s="1194" t="str">
        <f t="shared" si="11"/>
        <v/>
      </c>
      <c r="AA25" s="1358" t="str">
        <f>IFERROR(IF($R$10="都市ガス",Z25*【共通】事業所の光熱費!$H$9,IF($R$10="液化石油ガス",Z25*【共通】事業所の光熱費!$H$10,"")),"")</f>
        <v/>
      </c>
      <c r="AB25" s="1194" t="str" cm="1">
        <f t="array" ref="AB25">IFERROR(Z25 * _xlfn.IFS($R$10="都市ガス", '(参考)排出係数'!$F$14, $R$10="液化石油ガス", '(参考)排出係数'!$F$12), "")</f>
        <v/>
      </c>
      <c r="AC25" s="1194" t="str" cm="1">
        <f t="array" ref="AC25">IFERROR(IF(_xlfn.IFS($O25="電気式", M25-W25, $O25="ガス式", M25-AB25, TRUE, 0)=0, "", _xlfn.IFS($O25="電気式", M25-W25, $O25="ガス式", M25-AB25, TRUE, 0)), "")</f>
        <v/>
      </c>
      <c r="AD25" s="1358" t="str">
        <f t="shared" si="2"/>
        <v/>
      </c>
      <c r="AE25" s="352"/>
      <c r="AF25" s="496"/>
      <c r="AG25" s="352"/>
    </row>
    <row r="26" spans="1:33" s="354" customFormat="1" ht="18.75" customHeight="1">
      <c r="A26" s="352"/>
      <c r="B26" s="371" t="s">
        <v>324</v>
      </c>
      <c r="C26" s="1145"/>
      <c r="D26" s="1331"/>
      <c r="E26" s="1354"/>
      <c r="F26" s="1354"/>
      <c r="G26" s="1355"/>
      <c r="H26" s="1356" t="str">
        <f t="shared" si="3"/>
        <v/>
      </c>
      <c r="I26" s="582" t="str">
        <f>IFERROR(IF(#REF!="定速機（吸込絞り・アンロード制御）", 80, IF(#REF!="インバータ機", 60, "")), "")</f>
        <v/>
      </c>
      <c r="J26" s="1220" t="str">
        <f t="shared" si="8"/>
        <v/>
      </c>
      <c r="K26" s="873" t="str">
        <f>IF(OR(J26=0, J26=""), "", 【共通】事業所の光熱費!$H$6)</f>
        <v/>
      </c>
      <c r="L26" s="874" t="str">
        <f t="shared" si="4"/>
        <v/>
      </c>
      <c r="M26" s="1194" t="str">
        <f>IFERROR(J26*'(参考)排出係数'!$F$3, "")</f>
        <v/>
      </c>
      <c r="N26" s="1288" t="str">
        <f t="shared" si="9"/>
        <v/>
      </c>
      <c r="O26" s="1331"/>
      <c r="P26" s="1135"/>
      <c r="Q26" s="1135"/>
      <c r="R26" s="582"/>
      <c r="S26" s="611" t="str">
        <f t="shared" si="10"/>
        <v/>
      </c>
      <c r="T26" s="586" t="str">
        <f t="shared" si="12"/>
        <v/>
      </c>
      <c r="U26" s="1220" t="str">
        <f t="shared" si="6"/>
        <v/>
      </c>
      <c r="V26" s="1295" t="str">
        <f>IF(OR(U26="", U26=0, 【共通】事業所の光熱費!$H$6="", 【共通】事業所の光熱費!$H$6=0), "", IFERROR(U26*【共通】事業所の光熱費!$H$6, ""))</f>
        <v/>
      </c>
      <c r="W26" s="1194" t="str">
        <f>IF(OR(U26="", U26=0, '(参考)排出係数'!$F$3="", '(参考)排出係数'!$F$3=0), "", IFERROR(U26*'(参考)排出係数'!$F$3, ""))</f>
        <v/>
      </c>
      <c r="X26" s="1357"/>
      <c r="Y26" s="1194" t="str">
        <f t="shared" si="7"/>
        <v/>
      </c>
      <c r="Z26" s="1194" t="str">
        <f t="shared" si="11"/>
        <v/>
      </c>
      <c r="AA26" s="1358" t="str">
        <f>IFERROR(IF($R$10="都市ガス",Z26*【共通】事業所の光熱費!$H$9,IF($R$10="液化石油ガス",Z26*【共通】事業所の光熱費!$H$10,"")),"")</f>
        <v/>
      </c>
      <c r="AB26" s="1194" t="str" cm="1">
        <f t="array" ref="AB26">IFERROR(Z26 * _xlfn.IFS($R$10="都市ガス", '(参考)排出係数'!$F$14, $R$10="液化石油ガス", '(参考)排出係数'!$F$12), "")</f>
        <v/>
      </c>
      <c r="AC26" s="1194" t="str" cm="1">
        <f t="array" ref="AC26">IFERROR(IF(_xlfn.IFS($O26="電気式", M26-W26, $O26="ガス式", M26-AB26, TRUE, 0)=0, "", _xlfn.IFS($O26="電気式", M26-W26, $O26="ガス式", M26-AB26, TRUE, 0)), "")</f>
        <v/>
      </c>
      <c r="AD26" s="1358" t="str">
        <f t="shared" si="2"/>
        <v/>
      </c>
      <c r="AE26" s="352"/>
      <c r="AF26" s="496"/>
      <c r="AG26" s="352"/>
    </row>
    <row r="27" spans="1:33" s="380" customFormat="1" ht="18.75" customHeight="1">
      <c r="A27" s="379"/>
      <c r="B27" s="388"/>
      <c r="C27" s="389"/>
      <c r="D27" s="390"/>
      <c r="E27" s="388"/>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row>
    <row r="28" spans="1:33" ht="18.75" customHeight="1">
      <c r="A28" s="1405"/>
      <c r="B28" s="1405"/>
      <c r="C28" s="1405"/>
      <c r="D28" s="1405"/>
      <c r="E28" s="1405"/>
      <c r="F28" s="1405"/>
      <c r="G28" s="1405"/>
      <c r="H28" s="1405"/>
      <c r="I28" s="1405"/>
      <c r="J28" s="1405"/>
      <c r="K28" s="1405"/>
      <c r="L28" s="1405"/>
      <c r="M28" s="1405"/>
      <c r="N28" s="1405"/>
      <c r="O28" s="1405"/>
      <c r="P28" s="1406"/>
      <c r="Q28" s="1407"/>
      <c r="R28" s="1405"/>
      <c r="S28" s="1405"/>
      <c r="T28" s="1405"/>
      <c r="U28" s="1405"/>
      <c r="V28" s="1405"/>
      <c r="W28" s="1405"/>
      <c r="X28" s="1405"/>
      <c r="Y28" s="1405"/>
      <c r="Z28" s="1405"/>
      <c r="AA28" s="1405"/>
      <c r="AB28" s="1405"/>
      <c r="AC28" s="1405"/>
      <c r="AD28" s="1405"/>
      <c r="AE28" s="1405"/>
      <c r="AF28" s="1405"/>
      <c r="AG28" s="1405"/>
    </row>
    <row r="29" spans="1:33">
      <c r="A29" s="1405"/>
      <c r="B29" s="1405"/>
      <c r="C29" s="1405"/>
      <c r="D29" s="1405"/>
      <c r="E29" s="1405"/>
      <c r="F29" s="1405"/>
      <c r="G29" s="1405"/>
      <c r="H29" s="1405"/>
      <c r="I29" s="1405"/>
      <c r="J29" s="1405"/>
      <c r="K29" s="1405"/>
      <c r="L29" s="1405"/>
      <c r="M29" s="1405"/>
      <c r="N29" s="1405"/>
      <c r="O29" s="1405"/>
      <c r="P29" s="1406"/>
      <c r="Q29" s="1407"/>
      <c r="R29" s="1405"/>
      <c r="S29" s="1405"/>
      <c r="T29" s="1405"/>
      <c r="U29" s="1405"/>
      <c r="V29" s="1405"/>
      <c r="W29" s="1405"/>
      <c r="X29" s="1405"/>
      <c r="Y29" s="1405"/>
      <c r="Z29" s="1405"/>
      <c r="AA29" s="1405"/>
      <c r="AB29" s="1405"/>
      <c r="AC29" s="1405"/>
      <c r="AD29" s="1405"/>
      <c r="AE29" s="1405"/>
      <c r="AF29" s="1405"/>
      <c r="AG29" s="1405"/>
    </row>
    <row r="30" spans="1:33">
      <c r="A30" s="1405"/>
      <c r="B30" s="1405"/>
      <c r="C30" s="1405"/>
      <c r="D30" s="1405"/>
      <c r="E30" s="1405"/>
      <c r="F30" s="1405"/>
      <c r="G30" s="1405"/>
      <c r="H30" s="1405"/>
      <c r="I30" s="1405"/>
      <c r="J30" s="1405"/>
      <c r="K30" s="1405"/>
      <c r="L30" s="1405"/>
      <c r="M30" s="1405"/>
      <c r="N30" s="1405"/>
      <c r="O30" s="1405"/>
      <c r="P30" s="1406"/>
      <c r="Q30" s="1407"/>
      <c r="R30" s="1405"/>
      <c r="S30" s="1405"/>
      <c r="T30" s="1405"/>
      <c r="U30" s="1405"/>
      <c r="V30" s="1405"/>
      <c r="W30" s="1405"/>
      <c r="X30" s="1405"/>
      <c r="Y30" s="1405"/>
      <c r="Z30" s="1405"/>
      <c r="AA30" s="1405"/>
      <c r="AB30" s="1405"/>
      <c r="AC30" s="1405"/>
      <c r="AD30" s="1405"/>
      <c r="AE30" s="1405"/>
      <c r="AF30" s="1405"/>
      <c r="AG30" s="1405"/>
    </row>
    <row r="31" spans="1:33">
      <c r="A31" s="1405"/>
      <c r="B31" s="1405"/>
      <c r="C31" s="1405"/>
      <c r="D31" s="1405"/>
      <c r="E31" s="1405"/>
      <c r="F31" s="1405"/>
      <c r="G31" s="1405"/>
      <c r="H31" s="1405"/>
      <c r="I31" s="1405"/>
      <c r="J31" s="1405"/>
      <c r="K31" s="1405"/>
      <c r="L31" s="1405"/>
      <c r="M31" s="1405"/>
      <c r="N31" s="1405"/>
      <c r="O31" s="1405"/>
      <c r="P31" s="1406"/>
      <c r="Q31" s="1407"/>
      <c r="R31" s="1405"/>
      <c r="S31" s="1405"/>
      <c r="T31" s="1405"/>
      <c r="U31" s="1405"/>
      <c r="V31" s="1405"/>
      <c r="W31" s="1405"/>
      <c r="X31" s="1405"/>
      <c r="Y31" s="1405"/>
      <c r="Z31" s="1405"/>
      <c r="AA31" s="1405"/>
      <c r="AB31" s="1405"/>
      <c r="AC31" s="1405"/>
      <c r="AD31" s="1405"/>
      <c r="AE31" s="1405"/>
      <c r="AF31" s="1405"/>
      <c r="AG31" s="1405"/>
    </row>
    <row r="32" spans="1:33">
      <c r="A32" s="1405"/>
      <c r="B32" s="1405"/>
      <c r="C32" s="1405"/>
      <c r="D32" s="1405"/>
      <c r="E32" s="1405"/>
      <c r="F32" s="1405"/>
      <c r="G32" s="1405"/>
      <c r="H32" s="1405"/>
      <c r="I32" s="1405"/>
      <c r="J32" s="1405"/>
      <c r="K32" s="1405"/>
      <c r="L32" s="1405"/>
      <c r="M32" s="1405"/>
      <c r="N32" s="1405"/>
      <c r="O32" s="1405"/>
      <c r="P32" s="1406"/>
      <c r="Q32" s="1407"/>
      <c r="R32" s="1405"/>
      <c r="S32" s="1405"/>
      <c r="T32" s="1405"/>
      <c r="U32" s="1405"/>
      <c r="V32" s="1405"/>
      <c r="W32" s="1405"/>
      <c r="X32" s="1405"/>
      <c r="Y32" s="1405"/>
      <c r="Z32" s="1405"/>
      <c r="AA32" s="1405"/>
      <c r="AB32" s="1405"/>
      <c r="AC32" s="1405"/>
      <c r="AD32" s="1405"/>
      <c r="AE32" s="1405"/>
      <c r="AF32" s="1405"/>
      <c r="AG32" s="1405"/>
    </row>
    <row r="33" spans="1:33">
      <c r="A33" s="1405"/>
      <c r="B33" s="1405"/>
      <c r="C33" s="1405"/>
      <c r="D33" s="1405"/>
      <c r="E33" s="1405"/>
      <c r="F33" s="1405"/>
      <c r="G33" s="1405"/>
      <c r="H33" s="1405"/>
      <c r="I33" s="1405"/>
      <c r="J33" s="1405"/>
      <c r="K33" s="1405"/>
      <c r="L33" s="1405"/>
      <c r="M33" s="1405"/>
      <c r="N33" s="1405"/>
      <c r="O33" s="1405"/>
      <c r="P33" s="1406"/>
      <c r="Q33" s="1407"/>
      <c r="R33" s="1405"/>
      <c r="S33" s="1405"/>
      <c r="T33" s="1405"/>
      <c r="U33" s="1405"/>
      <c r="V33" s="1405"/>
      <c r="W33" s="1405"/>
      <c r="X33" s="1405"/>
      <c r="Y33" s="1405"/>
      <c r="Z33" s="1405"/>
      <c r="AA33" s="1405"/>
      <c r="AB33" s="1405"/>
      <c r="AC33" s="1405"/>
      <c r="AD33" s="1405"/>
      <c r="AE33" s="1405"/>
      <c r="AF33" s="1405"/>
      <c r="AG33" s="1405"/>
    </row>
  </sheetData>
  <protectedRanges>
    <protectedRange sqref="R10:S10 C17:G26 I17:I26 N17:R26 T17:T26 X17:X26" name="範囲1"/>
  </protectedRanges>
  <mergeCells count="7">
    <mergeCell ref="K3:N3"/>
    <mergeCell ref="B11:B13"/>
    <mergeCell ref="C8:G8"/>
    <mergeCell ref="R8:S8"/>
    <mergeCell ref="L5:M5"/>
    <mergeCell ref="L6:M6"/>
    <mergeCell ref="L7:M7"/>
  </mergeCells>
  <phoneticPr fontId="2"/>
  <conditionalFormatting sqref="F7:H7">
    <cfRule type="expression" dxfId="5" priority="1">
      <formula>$G$1="なし"</formula>
    </cfRule>
  </conditionalFormatting>
  <conditionalFormatting sqref="F4:I4">
    <cfRule type="expression" dxfId="4" priority="23">
      <formula>$G$1="なし"</formula>
    </cfRule>
  </conditionalFormatting>
  <conditionalFormatting sqref="P15:W15 P17:W26">
    <cfRule type="expression" dxfId="3" priority="61">
      <formula>$O15="ガス式"</formula>
    </cfRule>
  </conditionalFormatting>
  <conditionalFormatting sqref="R10">
    <cfRule type="expression" dxfId="2" priority="15">
      <formula>$D$1="なし"</formula>
    </cfRule>
  </conditionalFormatting>
  <conditionalFormatting sqref="S10 E16:I16">
    <cfRule type="expression" dxfId="1" priority="26">
      <formula>$F$1="なし"</formula>
    </cfRule>
  </conditionalFormatting>
  <conditionalFormatting sqref="X15:AB15 X17 Y17:AB26">
    <cfRule type="expression" dxfId="0" priority="63">
      <formula>$O15="電気式"</formula>
    </cfRule>
  </conditionalFormatting>
  <dataValidations count="4">
    <dataValidation type="list" allowBlank="1" showInputMessage="1" showErrorMessage="1" sqref="S10" xr:uid="{80B4C7E3-62C1-4D35-856C-05E8ECAB18B3}">
      <formula1>"13A,12A,LP"</formula1>
    </dataValidation>
    <dataValidation type="list" allowBlank="1" showInputMessage="1" showErrorMessage="1" sqref="R10" xr:uid="{A0FCCAE5-E389-4E28-A0BB-7CCB9AC8663D}">
      <formula1>"都市ガス,液化石油ガス"</formula1>
    </dataValidation>
    <dataValidation type="list" allowBlank="1" showInputMessage="1" showErrorMessage="1" sqref="D15 D17:D26" xr:uid="{4C94A9A7-7EFF-4A33-B078-F557B862489E}">
      <formula1>"コンプレッサー,乾燥機"</formula1>
    </dataValidation>
    <dataValidation type="list" allowBlank="1" showInputMessage="1" showErrorMessage="1" sqref="O15 O17:O26" xr:uid="{E58CEEBA-807C-4404-BDC5-E9085C96DA85}">
      <formula1>"電気式,ガス式,その他"</formula1>
    </dataValidation>
  </dataValidations>
  <pageMargins left="0.7" right="0.7" top="0.75" bottom="0.75" header="0.3" footer="0.3"/>
  <pageSetup paperSize="8" scale="5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D6DBE-453A-4861-8DA7-C2EB8BA0B458}">
  <sheetPr codeName="Sheet18">
    <pageSetUpPr fitToPage="1"/>
  </sheetPr>
  <dimension ref="A1:F122"/>
  <sheetViews>
    <sheetView workbookViewId="0"/>
  </sheetViews>
  <sheetFormatPr defaultColWidth="9" defaultRowHeight="13"/>
  <cols>
    <col min="1" max="1" width="5.75" style="112" customWidth="1"/>
    <col min="2" max="2" width="9.5" style="112" bestFit="1" customWidth="1"/>
    <col min="3" max="6" width="5.83203125" style="112" bestFit="1" customWidth="1"/>
    <col min="7" max="16384" width="9" style="112"/>
  </cols>
  <sheetData>
    <row r="1" spans="1:6">
      <c r="B1" s="112" t="s">
        <v>327</v>
      </c>
      <c r="C1" s="112" t="s">
        <v>328</v>
      </c>
      <c r="D1" s="112" t="s">
        <v>329</v>
      </c>
      <c r="E1" s="112" t="s">
        <v>330</v>
      </c>
      <c r="F1" s="112" t="s">
        <v>331</v>
      </c>
    </row>
    <row r="2" spans="1:6">
      <c r="A2" s="112" t="s">
        <v>332</v>
      </c>
      <c r="B2" s="144">
        <v>0.75</v>
      </c>
      <c r="C2" s="145">
        <v>0.72099999999999997</v>
      </c>
      <c r="D2" s="145">
        <v>0.72099999999999997</v>
      </c>
      <c r="E2" s="145">
        <v>0.7</v>
      </c>
      <c r="F2" s="145"/>
    </row>
    <row r="3" spans="1:6">
      <c r="A3" s="112" t="s">
        <v>332</v>
      </c>
      <c r="B3" s="146">
        <v>1.1000000000000001</v>
      </c>
      <c r="C3" s="145">
        <v>0.75</v>
      </c>
      <c r="D3" s="145">
        <v>0.75</v>
      </c>
      <c r="E3" s="145">
        <v>0.72900000000000009</v>
      </c>
      <c r="F3" s="145"/>
    </row>
    <row r="4" spans="1:6">
      <c r="A4" s="112" t="s">
        <v>332</v>
      </c>
      <c r="B4" s="146">
        <v>1.5</v>
      </c>
      <c r="C4" s="145">
        <v>0.77200000000000002</v>
      </c>
      <c r="D4" s="145">
        <v>0.77200000000000002</v>
      </c>
      <c r="E4" s="145">
        <v>0.752</v>
      </c>
      <c r="F4" s="145"/>
    </row>
    <row r="5" spans="1:6">
      <c r="A5" s="112" t="s">
        <v>332</v>
      </c>
      <c r="B5" s="146">
        <v>2.2000000000000002</v>
      </c>
      <c r="C5" s="145">
        <v>0.79700000000000004</v>
      </c>
      <c r="D5" s="145">
        <v>0.79700000000000004</v>
      </c>
      <c r="E5" s="145">
        <v>0.77700000000000002</v>
      </c>
      <c r="F5" s="145"/>
    </row>
    <row r="6" spans="1:6">
      <c r="A6" s="112" t="s">
        <v>332</v>
      </c>
      <c r="B6" s="146">
        <v>3</v>
      </c>
      <c r="C6" s="145">
        <v>0.81499999999999995</v>
      </c>
      <c r="D6" s="145">
        <v>0.81499999999999995</v>
      </c>
      <c r="E6" s="145">
        <v>0.79700000000000004</v>
      </c>
      <c r="F6" s="145"/>
    </row>
    <row r="7" spans="1:6">
      <c r="A7" s="112" t="s">
        <v>332</v>
      </c>
      <c r="B7" s="146">
        <v>3.7</v>
      </c>
      <c r="C7" s="145">
        <v>0.82700000000000007</v>
      </c>
      <c r="D7" s="145">
        <v>0.82700000000000007</v>
      </c>
      <c r="E7" s="145">
        <v>0.80900000000000005</v>
      </c>
      <c r="F7" s="145"/>
    </row>
    <row r="8" spans="1:6">
      <c r="A8" s="112" t="s">
        <v>332</v>
      </c>
      <c r="B8" s="146">
        <v>4</v>
      </c>
      <c r="C8" s="145">
        <v>0.83099999999999996</v>
      </c>
      <c r="D8" s="145">
        <v>0.83099999999999996</v>
      </c>
      <c r="E8" s="145">
        <v>0.81400000000000006</v>
      </c>
      <c r="F8" s="145"/>
    </row>
    <row r="9" spans="1:6">
      <c r="A9" s="112" t="s">
        <v>332</v>
      </c>
      <c r="B9" s="146">
        <v>5.5</v>
      </c>
      <c r="C9" s="145">
        <v>0.84699999999999998</v>
      </c>
      <c r="D9" s="145">
        <v>0.84699999999999998</v>
      </c>
      <c r="E9" s="145">
        <v>0.83099999999999996</v>
      </c>
      <c r="F9" s="145"/>
    </row>
    <row r="10" spans="1:6">
      <c r="A10" s="112" t="s">
        <v>332</v>
      </c>
      <c r="B10" s="146">
        <v>7.5</v>
      </c>
      <c r="C10" s="145">
        <v>0.86</v>
      </c>
      <c r="D10" s="145">
        <v>0.86</v>
      </c>
      <c r="E10" s="145">
        <v>0.84699999999999998</v>
      </c>
      <c r="F10" s="145"/>
    </row>
    <row r="11" spans="1:6">
      <c r="A11" s="112" t="s">
        <v>332</v>
      </c>
      <c r="B11" s="147">
        <v>11</v>
      </c>
      <c r="C11" s="145">
        <v>0.87599999999999989</v>
      </c>
      <c r="D11" s="145">
        <v>0.87599999999999989</v>
      </c>
      <c r="E11" s="145">
        <v>0.8640000000000001</v>
      </c>
      <c r="F11" s="145"/>
    </row>
    <row r="12" spans="1:6">
      <c r="A12" s="112" t="s">
        <v>332</v>
      </c>
      <c r="B12" s="147">
        <v>15</v>
      </c>
      <c r="C12" s="145">
        <v>0.88700000000000001</v>
      </c>
      <c r="D12" s="145">
        <v>0.88700000000000001</v>
      </c>
      <c r="E12" s="145">
        <v>0.877</v>
      </c>
      <c r="F12" s="145"/>
    </row>
    <row r="13" spans="1:6">
      <c r="A13" s="112" t="s">
        <v>332</v>
      </c>
      <c r="B13" s="147">
        <v>18.5</v>
      </c>
      <c r="C13" s="145">
        <v>0.89300000000000002</v>
      </c>
      <c r="D13" s="145">
        <v>0.89300000000000002</v>
      </c>
      <c r="E13" s="145">
        <v>0.8859999999999999</v>
      </c>
      <c r="F13" s="145"/>
    </row>
    <row r="14" spans="1:6">
      <c r="A14" s="112" t="s">
        <v>332</v>
      </c>
      <c r="B14" s="147">
        <v>22</v>
      </c>
      <c r="C14" s="145">
        <v>0.89900000000000002</v>
      </c>
      <c r="D14" s="145">
        <v>0.89900000000000002</v>
      </c>
      <c r="E14" s="145">
        <v>0.89200000000000002</v>
      </c>
      <c r="F14" s="145"/>
    </row>
    <row r="15" spans="1:6">
      <c r="A15" s="112" t="s">
        <v>332</v>
      </c>
      <c r="B15" s="147">
        <v>30</v>
      </c>
      <c r="C15" s="145">
        <v>0.90700000000000003</v>
      </c>
      <c r="D15" s="145">
        <v>0.90700000000000003</v>
      </c>
      <c r="E15" s="145">
        <v>0.90200000000000002</v>
      </c>
      <c r="F15" s="145"/>
    </row>
    <row r="16" spans="1:6">
      <c r="A16" s="112" t="s">
        <v>332</v>
      </c>
      <c r="B16" s="147">
        <v>37</v>
      </c>
      <c r="C16" s="145">
        <v>0.91200000000000003</v>
      </c>
      <c r="D16" s="145">
        <v>0.91200000000000003</v>
      </c>
      <c r="E16" s="145">
        <v>0.90799999999999992</v>
      </c>
      <c r="F16" s="145"/>
    </row>
    <row r="17" spans="1:6">
      <c r="A17" s="112" t="s">
        <v>332</v>
      </c>
      <c r="B17" s="147">
        <v>45</v>
      </c>
      <c r="C17" s="145">
        <v>0.91700000000000004</v>
      </c>
      <c r="D17" s="145">
        <v>0.91700000000000004</v>
      </c>
      <c r="E17" s="145">
        <v>0.91400000000000003</v>
      </c>
      <c r="F17" s="145"/>
    </row>
    <row r="18" spans="1:6">
      <c r="A18" s="112" t="s">
        <v>332</v>
      </c>
      <c r="B18" s="147">
        <v>55</v>
      </c>
      <c r="C18" s="145">
        <v>0.92099999999999993</v>
      </c>
      <c r="D18" s="145">
        <v>0.92099999999999993</v>
      </c>
      <c r="E18" s="145">
        <v>0.91900000000000004</v>
      </c>
      <c r="F18" s="145"/>
    </row>
    <row r="19" spans="1:6">
      <c r="A19" s="112" t="s">
        <v>332</v>
      </c>
      <c r="B19" s="147">
        <v>75</v>
      </c>
      <c r="C19" s="145">
        <v>0.92700000000000005</v>
      </c>
      <c r="D19" s="145">
        <v>0.92700000000000005</v>
      </c>
      <c r="E19" s="145">
        <v>0.92599999999999993</v>
      </c>
      <c r="F19" s="145"/>
    </row>
    <row r="20" spans="1:6">
      <c r="A20" s="112" t="s">
        <v>332</v>
      </c>
      <c r="B20" s="147">
        <v>90</v>
      </c>
      <c r="C20" s="145">
        <v>0.93</v>
      </c>
      <c r="D20" s="145">
        <v>0.93</v>
      </c>
      <c r="E20" s="145">
        <v>0.92900000000000005</v>
      </c>
      <c r="F20" s="145"/>
    </row>
    <row r="21" spans="1:6">
      <c r="A21" s="112" t="s">
        <v>332</v>
      </c>
      <c r="B21" s="147">
        <v>110</v>
      </c>
      <c r="C21" s="145">
        <v>0.93299999999999994</v>
      </c>
      <c r="D21" s="145">
        <v>0.93299999999999994</v>
      </c>
      <c r="E21" s="145">
        <v>0.93299999999999994</v>
      </c>
      <c r="F21" s="145"/>
    </row>
    <row r="22" spans="1:6">
      <c r="A22" s="112" t="s">
        <v>332</v>
      </c>
      <c r="B22" s="147">
        <v>132</v>
      </c>
      <c r="C22" s="145">
        <v>0.93500000000000005</v>
      </c>
      <c r="D22" s="145">
        <v>0.93500000000000005</v>
      </c>
      <c r="E22" s="145">
        <v>0.93500000000000005</v>
      </c>
      <c r="F22" s="145"/>
    </row>
    <row r="23" spans="1:6">
      <c r="A23" s="112" t="s">
        <v>332</v>
      </c>
      <c r="B23" s="147">
        <v>160</v>
      </c>
      <c r="C23" s="145">
        <v>0.93799999999999994</v>
      </c>
      <c r="D23" s="145">
        <v>0.93799999999999994</v>
      </c>
      <c r="E23" s="145">
        <v>0.93799999999999994</v>
      </c>
      <c r="F23" s="145"/>
    </row>
    <row r="24" spans="1:6">
      <c r="A24" s="112" t="s">
        <v>325</v>
      </c>
      <c r="B24" s="147">
        <v>185</v>
      </c>
      <c r="C24" s="145">
        <v>0.94</v>
      </c>
      <c r="D24" s="145">
        <v>0.94</v>
      </c>
      <c r="E24" s="145">
        <v>0.94</v>
      </c>
      <c r="F24" s="145"/>
    </row>
    <row r="25" spans="1:6">
      <c r="A25" s="112" t="s">
        <v>325</v>
      </c>
      <c r="B25" s="147">
        <v>200</v>
      </c>
      <c r="C25" s="145">
        <v>0.94</v>
      </c>
      <c r="D25" s="145">
        <v>0.94</v>
      </c>
      <c r="E25" s="145">
        <v>0.94</v>
      </c>
      <c r="F25" s="145"/>
    </row>
    <row r="26" spans="1:6">
      <c r="A26" s="112" t="s">
        <v>325</v>
      </c>
      <c r="B26" s="147">
        <v>220</v>
      </c>
      <c r="C26" s="145">
        <v>0.94</v>
      </c>
      <c r="D26" s="145">
        <v>0.94</v>
      </c>
      <c r="E26" s="145">
        <v>0.94</v>
      </c>
      <c r="F26" s="145"/>
    </row>
    <row r="27" spans="1:6">
      <c r="A27" s="112" t="s">
        <v>325</v>
      </c>
      <c r="B27" s="147">
        <v>250</v>
      </c>
      <c r="C27" s="145">
        <v>0.94</v>
      </c>
      <c r="D27" s="145">
        <v>0.94</v>
      </c>
      <c r="E27" s="145">
        <v>0.94</v>
      </c>
      <c r="F27" s="145"/>
    </row>
    <row r="28" spans="1:6">
      <c r="A28" s="112" t="s">
        <v>325</v>
      </c>
      <c r="B28" s="147">
        <v>280</v>
      </c>
      <c r="C28" s="145">
        <v>0.94</v>
      </c>
      <c r="D28" s="145">
        <v>0.94</v>
      </c>
      <c r="E28" s="145">
        <v>0.94</v>
      </c>
      <c r="F28" s="145"/>
    </row>
    <row r="29" spans="1:6">
      <c r="A29" s="112" t="s">
        <v>325</v>
      </c>
      <c r="B29" s="147">
        <v>300</v>
      </c>
      <c r="C29" s="145">
        <v>0.94</v>
      </c>
      <c r="D29" s="145">
        <v>0.94</v>
      </c>
      <c r="E29" s="145">
        <v>0.94</v>
      </c>
      <c r="F29" s="145"/>
    </row>
    <row r="30" spans="1:6">
      <c r="A30" s="112" t="s">
        <v>325</v>
      </c>
      <c r="B30" s="147">
        <v>315</v>
      </c>
      <c r="C30" s="145">
        <v>0.94</v>
      </c>
      <c r="D30" s="145">
        <v>0.94</v>
      </c>
      <c r="E30" s="145">
        <v>0.94</v>
      </c>
      <c r="F30" s="145"/>
    </row>
    <row r="31" spans="1:6">
      <c r="A31" s="112" t="s">
        <v>332</v>
      </c>
      <c r="B31" s="147">
        <v>355</v>
      </c>
      <c r="C31" s="145">
        <v>0.94</v>
      </c>
      <c r="D31" s="145">
        <v>0.94</v>
      </c>
      <c r="E31" s="145">
        <v>0.94</v>
      </c>
      <c r="F31" s="145"/>
    </row>
    <row r="32" spans="1:6">
      <c r="A32" s="112" t="s">
        <v>332</v>
      </c>
      <c r="B32" s="147">
        <v>375</v>
      </c>
      <c r="C32" s="145">
        <v>0.94</v>
      </c>
      <c r="D32" s="145">
        <v>0.94</v>
      </c>
      <c r="E32" s="145">
        <v>0.94</v>
      </c>
      <c r="F32" s="145"/>
    </row>
    <row r="33" spans="1:6">
      <c r="A33" s="112" t="s">
        <v>333</v>
      </c>
      <c r="B33" s="144">
        <v>0.75</v>
      </c>
      <c r="C33" s="145">
        <v>0.77400000000000002</v>
      </c>
      <c r="D33" s="145">
        <v>0.79599999999999993</v>
      </c>
      <c r="E33" s="145">
        <v>0.75900000000000001</v>
      </c>
      <c r="F33" s="145"/>
    </row>
    <row r="34" spans="1:6">
      <c r="A34" s="112" t="s">
        <v>333</v>
      </c>
      <c r="B34" s="146">
        <v>1.1000000000000001</v>
      </c>
      <c r="C34" s="145">
        <v>0.79599999999999993</v>
      </c>
      <c r="D34" s="145">
        <v>0.81400000000000006</v>
      </c>
      <c r="E34" s="145">
        <v>0.78099999999999992</v>
      </c>
      <c r="F34" s="145"/>
    </row>
    <row r="35" spans="1:6">
      <c r="A35" s="112" t="s">
        <v>333</v>
      </c>
      <c r="B35" s="146">
        <v>1.5</v>
      </c>
      <c r="C35" s="145">
        <v>0.81299999999999994</v>
      </c>
      <c r="D35" s="145">
        <v>0.82799999999999996</v>
      </c>
      <c r="E35" s="145">
        <v>0.79799999999999993</v>
      </c>
      <c r="F35" s="145"/>
    </row>
    <row r="36" spans="1:6">
      <c r="A36" s="112" t="s">
        <v>333</v>
      </c>
      <c r="B36" s="146">
        <v>2.2000000000000002</v>
      </c>
      <c r="C36" s="145">
        <v>0.83200000000000007</v>
      </c>
      <c r="D36" s="145">
        <v>0.84299999999999997</v>
      </c>
      <c r="E36" s="145">
        <v>0.81799999999999995</v>
      </c>
      <c r="F36" s="145"/>
    </row>
    <row r="37" spans="1:6">
      <c r="A37" s="112" t="s">
        <v>333</v>
      </c>
      <c r="B37" s="146">
        <v>3</v>
      </c>
      <c r="C37" s="145">
        <v>0.84599999999999997</v>
      </c>
      <c r="D37" s="145">
        <v>0.85499999999999998</v>
      </c>
      <c r="E37" s="145">
        <v>0.83299999999999996</v>
      </c>
      <c r="F37" s="145"/>
    </row>
    <row r="38" spans="1:6">
      <c r="A38" s="112" t="s">
        <v>333</v>
      </c>
      <c r="B38" s="146">
        <v>3.7</v>
      </c>
      <c r="C38" s="145">
        <v>0.85499999999999998</v>
      </c>
      <c r="D38" s="145">
        <v>0.86299999999999999</v>
      </c>
      <c r="E38" s="145">
        <v>0.84299999999999997</v>
      </c>
      <c r="F38" s="145"/>
    </row>
    <row r="39" spans="1:6">
      <c r="A39" s="112" t="s">
        <v>333</v>
      </c>
      <c r="B39" s="146">
        <v>4</v>
      </c>
      <c r="C39" s="145">
        <v>0.85799999999999998</v>
      </c>
      <c r="D39" s="145">
        <v>0.86599999999999999</v>
      </c>
      <c r="E39" s="145">
        <v>0.84599999999999997</v>
      </c>
      <c r="F39" s="145"/>
    </row>
    <row r="40" spans="1:6">
      <c r="A40" s="112" t="s">
        <v>333</v>
      </c>
      <c r="B40" s="146">
        <v>5.5</v>
      </c>
      <c r="C40" s="145">
        <v>0.87</v>
      </c>
      <c r="D40" s="145">
        <v>0.877</v>
      </c>
      <c r="E40" s="145">
        <v>0.86</v>
      </c>
      <c r="F40" s="145"/>
    </row>
    <row r="41" spans="1:6">
      <c r="A41" s="112" t="s">
        <v>333</v>
      </c>
      <c r="B41" s="146">
        <v>7.5</v>
      </c>
      <c r="C41" s="145">
        <v>0.88099999999999989</v>
      </c>
      <c r="D41" s="145">
        <v>0.88700000000000001</v>
      </c>
      <c r="E41" s="145">
        <v>0.872</v>
      </c>
      <c r="F41" s="145"/>
    </row>
    <row r="42" spans="1:6">
      <c r="A42" s="112" t="s">
        <v>333</v>
      </c>
      <c r="B42" s="147">
        <v>11</v>
      </c>
      <c r="C42" s="145">
        <v>0.89400000000000002</v>
      </c>
      <c r="D42" s="145">
        <v>0.89800000000000002</v>
      </c>
      <c r="E42" s="145">
        <v>0.88700000000000001</v>
      </c>
      <c r="F42" s="145"/>
    </row>
    <row r="43" spans="1:6">
      <c r="A43" s="112" t="s">
        <v>333</v>
      </c>
      <c r="B43" s="147">
        <v>15</v>
      </c>
      <c r="C43" s="145">
        <v>0.90300000000000002</v>
      </c>
      <c r="D43" s="145">
        <v>0.90599999999999992</v>
      </c>
      <c r="E43" s="145">
        <v>0.89700000000000002</v>
      </c>
      <c r="F43" s="145"/>
    </row>
    <row r="44" spans="1:6">
      <c r="A44" s="112" t="s">
        <v>333</v>
      </c>
      <c r="B44" s="147">
        <v>18.5</v>
      </c>
      <c r="C44" s="145">
        <v>0.90900000000000003</v>
      </c>
      <c r="D44" s="145">
        <v>0.91200000000000003</v>
      </c>
      <c r="E44" s="145">
        <v>0.90400000000000003</v>
      </c>
      <c r="F44" s="145"/>
    </row>
    <row r="45" spans="1:6">
      <c r="A45" s="112" t="s">
        <v>333</v>
      </c>
      <c r="B45" s="147">
        <v>22</v>
      </c>
      <c r="C45" s="145">
        <v>0.91299999999999992</v>
      </c>
      <c r="D45" s="145">
        <v>0.91599999999999993</v>
      </c>
      <c r="E45" s="145">
        <v>0.90900000000000003</v>
      </c>
      <c r="F45" s="145"/>
    </row>
    <row r="46" spans="1:6">
      <c r="A46" s="112" t="s">
        <v>333</v>
      </c>
      <c r="B46" s="147">
        <v>30</v>
      </c>
      <c r="C46" s="145">
        <v>0.92</v>
      </c>
      <c r="D46" s="145">
        <v>0.92299999999999993</v>
      </c>
      <c r="E46" s="145">
        <v>0.91700000000000004</v>
      </c>
      <c r="F46" s="145"/>
    </row>
    <row r="47" spans="1:6">
      <c r="A47" s="112" t="s">
        <v>333</v>
      </c>
      <c r="B47" s="147">
        <v>37</v>
      </c>
      <c r="C47" s="145">
        <v>0.92500000000000004</v>
      </c>
      <c r="D47" s="145">
        <v>0.92700000000000005</v>
      </c>
      <c r="E47" s="145">
        <v>0.92200000000000004</v>
      </c>
      <c r="F47" s="145"/>
    </row>
    <row r="48" spans="1:6">
      <c r="A48" s="112" t="s">
        <v>333</v>
      </c>
      <c r="B48" s="147">
        <v>45</v>
      </c>
      <c r="C48" s="145">
        <v>0.92900000000000005</v>
      </c>
      <c r="D48" s="145">
        <v>0.93099999999999994</v>
      </c>
      <c r="E48" s="145">
        <v>0.92700000000000005</v>
      </c>
      <c r="F48" s="145"/>
    </row>
    <row r="49" spans="1:6">
      <c r="A49" s="112" t="s">
        <v>333</v>
      </c>
      <c r="B49" s="147">
        <v>55</v>
      </c>
      <c r="C49" s="145">
        <v>0.93200000000000005</v>
      </c>
      <c r="D49" s="145">
        <v>0.93500000000000005</v>
      </c>
      <c r="E49" s="145">
        <v>0.93099999999999994</v>
      </c>
      <c r="F49" s="145"/>
    </row>
    <row r="50" spans="1:6">
      <c r="A50" s="112" t="s">
        <v>333</v>
      </c>
      <c r="B50" s="147">
        <v>75</v>
      </c>
      <c r="C50" s="145">
        <v>0.93799999999999994</v>
      </c>
      <c r="D50" s="145">
        <v>0.94</v>
      </c>
      <c r="E50" s="145">
        <v>0.93700000000000006</v>
      </c>
      <c r="F50" s="145"/>
    </row>
    <row r="51" spans="1:6">
      <c r="A51" s="112" t="s">
        <v>333</v>
      </c>
      <c r="B51" s="147">
        <v>90</v>
      </c>
      <c r="C51" s="145">
        <v>0.94099999999999995</v>
      </c>
      <c r="D51" s="145">
        <v>0.94200000000000006</v>
      </c>
      <c r="E51" s="145">
        <v>0.94</v>
      </c>
      <c r="F51" s="145"/>
    </row>
    <row r="52" spans="1:6">
      <c r="A52" s="112" t="s">
        <v>333</v>
      </c>
      <c r="B52" s="147">
        <v>110</v>
      </c>
      <c r="C52" s="145">
        <v>0.94299999999999995</v>
      </c>
      <c r="D52" s="145">
        <v>0.94499999999999995</v>
      </c>
      <c r="E52" s="145">
        <v>0.94299999999999995</v>
      </c>
      <c r="F52" s="145"/>
    </row>
    <row r="53" spans="1:6">
      <c r="A53" s="112" t="s">
        <v>333</v>
      </c>
      <c r="B53" s="147">
        <v>132</v>
      </c>
      <c r="C53" s="145">
        <v>0.94599999999999995</v>
      </c>
      <c r="D53" s="145">
        <v>0.94700000000000006</v>
      </c>
      <c r="E53" s="145">
        <v>0.94599999999999995</v>
      </c>
      <c r="F53" s="145"/>
    </row>
    <row r="54" spans="1:6">
      <c r="A54" s="112" t="s">
        <v>333</v>
      </c>
      <c r="B54" s="147">
        <v>160</v>
      </c>
      <c r="C54" s="145">
        <v>0.94799999999999995</v>
      </c>
      <c r="D54" s="145">
        <v>0.94900000000000007</v>
      </c>
      <c r="E54" s="145">
        <v>0.94799999999999995</v>
      </c>
      <c r="F54" s="145"/>
    </row>
    <row r="55" spans="1:6">
      <c r="A55" s="112" t="s">
        <v>333</v>
      </c>
      <c r="B55" s="147">
        <v>185</v>
      </c>
      <c r="C55" s="145">
        <v>0.95</v>
      </c>
      <c r="D55" s="145">
        <v>0.95099999999999996</v>
      </c>
      <c r="E55" s="145">
        <v>0.95</v>
      </c>
      <c r="F55" s="145"/>
    </row>
    <row r="56" spans="1:6">
      <c r="A56" s="112" t="s">
        <v>333</v>
      </c>
      <c r="B56" s="147">
        <v>200</v>
      </c>
      <c r="C56" s="145">
        <v>0.95</v>
      </c>
      <c r="D56" s="145">
        <v>0.95099999999999996</v>
      </c>
      <c r="E56" s="145">
        <v>0.95</v>
      </c>
      <c r="F56" s="145"/>
    </row>
    <row r="57" spans="1:6">
      <c r="A57" s="112" t="s">
        <v>333</v>
      </c>
      <c r="B57" s="147">
        <v>220</v>
      </c>
      <c r="C57" s="145">
        <v>0.95</v>
      </c>
      <c r="D57" s="145">
        <v>0.95099999999999996</v>
      </c>
      <c r="E57" s="145">
        <v>0.95</v>
      </c>
      <c r="F57" s="145"/>
    </row>
    <row r="58" spans="1:6">
      <c r="A58" s="112" t="s">
        <v>333</v>
      </c>
      <c r="B58" s="147">
        <v>250</v>
      </c>
      <c r="C58" s="145">
        <v>0.95</v>
      </c>
      <c r="D58" s="145">
        <v>0.95099999999999996</v>
      </c>
      <c r="E58" s="145">
        <v>0.95</v>
      </c>
      <c r="F58" s="145"/>
    </row>
    <row r="59" spans="1:6">
      <c r="A59" s="112" t="s">
        <v>333</v>
      </c>
      <c r="B59" s="147">
        <v>280</v>
      </c>
      <c r="C59" s="145">
        <v>0.95</v>
      </c>
      <c r="D59" s="145">
        <v>0.95099999999999996</v>
      </c>
      <c r="E59" s="145">
        <v>0.95</v>
      </c>
      <c r="F59" s="145"/>
    </row>
    <row r="60" spans="1:6">
      <c r="A60" s="112" t="s">
        <v>333</v>
      </c>
      <c r="B60" s="147">
        <v>300</v>
      </c>
      <c r="C60" s="145">
        <v>0.95</v>
      </c>
      <c r="D60" s="145">
        <v>0.95099999999999996</v>
      </c>
      <c r="E60" s="145">
        <v>0.95</v>
      </c>
      <c r="F60" s="145"/>
    </row>
    <row r="61" spans="1:6">
      <c r="A61" s="112" t="s">
        <v>333</v>
      </c>
      <c r="B61" s="147">
        <v>315</v>
      </c>
      <c r="C61" s="145">
        <v>0.95</v>
      </c>
      <c r="D61" s="145">
        <v>0.95099999999999996</v>
      </c>
      <c r="E61" s="145">
        <v>0.95</v>
      </c>
      <c r="F61" s="145"/>
    </row>
    <row r="62" spans="1:6">
      <c r="A62" s="112" t="s">
        <v>333</v>
      </c>
      <c r="B62" s="147">
        <v>355</v>
      </c>
      <c r="C62" s="145">
        <v>0.95</v>
      </c>
      <c r="D62" s="145">
        <v>0.95099999999999996</v>
      </c>
      <c r="E62" s="145">
        <v>0.95</v>
      </c>
      <c r="F62" s="145"/>
    </row>
    <row r="63" spans="1:6">
      <c r="A63" s="112" t="s">
        <v>333</v>
      </c>
      <c r="B63" s="147">
        <v>375</v>
      </c>
      <c r="C63" s="145">
        <v>0.95</v>
      </c>
      <c r="D63" s="145">
        <v>0.95099999999999996</v>
      </c>
      <c r="E63" s="145">
        <v>0.95</v>
      </c>
      <c r="F63" s="145"/>
    </row>
    <row r="64" spans="1:6">
      <c r="A64" s="112" t="s">
        <v>334</v>
      </c>
      <c r="B64" s="144">
        <v>0.75</v>
      </c>
      <c r="C64" s="145">
        <v>0.80700000000000005</v>
      </c>
      <c r="D64" s="145">
        <v>0.82499999999999996</v>
      </c>
      <c r="E64" s="145">
        <v>0.78900000000000003</v>
      </c>
      <c r="F64" s="145"/>
    </row>
    <row r="65" spans="1:6">
      <c r="A65" s="112" t="s">
        <v>334</v>
      </c>
      <c r="B65" s="146">
        <v>1.1000000000000001</v>
      </c>
      <c r="C65" s="145">
        <v>0.82700000000000007</v>
      </c>
      <c r="D65" s="145">
        <v>0.84099999999999997</v>
      </c>
      <c r="E65" s="145">
        <v>0.81</v>
      </c>
      <c r="F65" s="145"/>
    </row>
    <row r="66" spans="1:6">
      <c r="A66" s="112" t="s">
        <v>334</v>
      </c>
      <c r="B66" s="146">
        <v>1.5</v>
      </c>
      <c r="C66" s="145">
        <v>0.84200000000000008</v>
      </c>
      <c r="D66" s="145">
        <v>0.85299999999999998</v>
      </c>
      <c r="E66" s="145">
        <v>0.82499999999999996</v>
      </c>
      <c r="F66" s="145"/>
    </row>
    <row r="67" spans="1:6">
      <c r="A67" s="112" t="s">
        <v>334</v>
      </c>
      <c r="B67" s="146">
        <v>2.2000000000000002</v>
      </c>
      <c r="C67" s="145">
        <v>0.8590000000000001</v>
      </c>
      <c r="D67" s="145">
        <v>0.86699999999999999</v>
      </c>
      <c r="E67" s="145">
        <v>0.84299999999999997</v>
      </c>
      <c r="F67" s="145"/>
    </row>
    <row r="68" spans="1:6">
      <c r="A68" s="112" t="s">
        <v>334</v>
      </c>
      <c r="B68" s="146">
        <v>3</v>
      </c>
      <c r="C68" s="145">
        <v>0.871</v>
      </c>
      <c r="D68" s="145">
        <v>0.877</v>
      </c>
      <c r="E68" s="145">
        <v>0.85599999999999998</v>
      </c>
      <c r="F68" s="145"/>
    </row>
    <row r="69" spans="1:6">
      <c r="A69" s="112" t="s">
        <v>334</v>
      </c>
      <c r="B69" s="146">
        <v>3.7</v>
      </c>
      <c r="C69" s="145">
        <v>0.878</v>
      </c>
      <c r="D69" s="145">
        <v>0.88400000000000001</v>
      </c>
      <c r="E69" s="145">
        <v>0.86499999999999999</v>
      </c>
      <c r="F69" s="145"/>
    </row>
    <row r="70" spans="1:6">
      <c r="A70" s="112" t="s">
        <v>334</v>
      </c>
      <c r="B70" s="146">
        <v>4</v>
      </c>
      <c r="C70" s="145">
        <v>0.88099999999999989</v>
      </c>
      <c r="D70" s="145">
        <v>0.8859999999999999</v>
      </c>
      <c r="E70" s="145">
        <v>0.86799999999999999</v>
      </c>
      <c r="F70" s="145"/>
    </row>
    <row r="71" spans="1:6">
      <c r="A71" s="112" t="s">
        <v>334</v>
      </c>
      <c r="B71" s="146">
        <v>5.5</v>
      </c>
      <c r="C71" s="145">
        <v>0.89200000000000002</v>
      </c>
      <c r="D71" s="145">
        <v>0.89599999999999991</v>
      </c>
      <c r="E71" s="145">
        <v>0.88</v>
      </c>
      <c r="F71" s="145"/>
    </row>
    <row r="72" spans="1:6">
      <c r="A72" s="112" t="s">
        <v>334</v>
      </c>
      <c r="B72" s="146">
        <v>7.5</v>
      </c>
      <c r="C72" s="145">
        <v>0.90099999999999991</v>
      </c>
      <c r="D72" s="145">
        <v>0.90400000000000003</v>
      </c>
      <c r="E72" s="145">
        <v>0.8909999999999999</v>
      </c>
      <c r="F72" s="145"/>
    </row>
    <row r="73" spans="1:6">
      <c r="A73" s="112" t="s">
        <v>334</v>
      </c>
      <c r="B73" s="147">
        <v>11</v>
      </c>
      <c r="C73" s="145">
        <v>0.91200000000000003</v>
      </c>
      <c r="D73" s="145">
        <v>0.91400000000000003</v>
      </c>
      <c r="E73" s="145">
        <v>0.90300000000000002</v>
      </c>
      <c r="F73" s="145"/>
    </row>
    <row r="74" spans="1:6">
      <c r="A74" s="112" t="s">
        <v>334</v>
      </c>
      <c r="B74" s="147">
        <v>15</v>
      </c>
      <c r="C74" s="145">
        <v>0.91900000000000004</v>
      </c>
      <c r="D74" s="145">
        <v>0.92099999999999993</v>
      </c>
      <c r="E74" s="145">
        <v>0.91200000000000003</v>
      </c>
      <c r="F74" s="145"/>
    </row>
    <row r="75" spans="1:6">
      <c r="A75" s="112" t="s">
        <v>334</v>
      </c>
      <c r="B75" s="147">
        <v>18.5</v>
      </c>
      <c r="C75" s="145">
        <v>0.92400000000000004</v>
      </c>
      <c r="D75" s="145">
        <v>0.92599999999999993</v>
      </c>
      <c r="E75" s="145">
        <v>0.91700000000000004</v>
      </c>
      <c r="F75" s="145"/>
    </row>
    <row r="76" spans="1:6">
      <c r="A76" s="112" t="s">
        <v>334</v>
      </c>
      <c r="B76" s="147">
        <v>22</v>
      </c>
      <c r="C76" s="145">
        <v>0.92700000000000005</v>
      </c>
      <c r="D76" s="145">
        <v>0.93</v>
      </c>
      <c r="E76" s="145">
        <v>0.92200000000000004</v>
      </c>
      <c r="F76" s="145"/>
    </row>
    <row r="77" spans="1:6">
      <c r="A77" s="112" t="s">
        <v>334</v>
      </c>
      <c r="B77" s="147">
        <v>30</v>
      </c>
      <c r="C77" s="145">
        <v>0.93299999999999994</v>
      </c>
      <c r="D77" s="145">
        <v>0.93599999999999994</v>
      </c>
      <c r="E77" s="145">
        <v>0.92900000000000005</v>
      </c>
      <c r="F77" s="145"/>
    </row>
    <row r="78" spans="1:6">
      <c r="A78" s="112" t="s">
        <v>334</v>
      </c>
      <c r="B78" s="147">
        <v>37</v>
      </c>
      <c r="C78" s="145">
        <v>0.93700000000000006</v>
      </c>
      <c r="D78" s="145">
        <v>0.93900000000000006</v>
      </c>
      <c r="E78" s="145">
        <v>0.93299999999999994</v>
      </c>
      <c r="F78" s="145"/>
    </row>
    <row r="79" spans="1:6">
      <c r="A79" s="112" t="s">
        <v>334</v>
      </c>
      <c r="B79" s="147">
        <v>45</v>
      </c>
      <c r="C79" s="145">
        <v>0.94</v>
      </c>
      <c r="D79" s="145">
        <v>0.94200000000000006</v>
      </c>
      <c r="E79" s="145">
        <v>0.93700000000000006</v>
      </c>
      <c r="F79" s="145"/>
    </row>
    <row r="80" spans="1:6">
      <c r="A80" s="112" t="s">
        <v>334</v>
      </c>
      <c r="B80" s="147">
        <v>55</v>
      </c>
      <c r="C80" s="145">
        <v>0.94299999999999995</v>
      </c>
      <c r="D80" s="145">
        <v>0.94599999999999995</v>
      </c>
      <c r="E80" s="145">
        <v>0.94099999999999995</v>
      </c>
      <c r="F80" s="145"/>
    </row>
    <row r="81" spans="1:6">
      <c r="A81" s="112" t="s">
        <v>334</v>
      </c>
      <c r="B81" s="147">
        <v>75</v>
      </c>
      <c r="C81" s="145">
        <v>0.94700000000000006</v>
      </c>
      <c r="D81" s="145">
        <v>0.95</v>
      </c>
      <c r="E81" s="145">
        <v>0.94599999999999995</v>
      </c>
      <c r="F81" s="145"/>
    </row>
    <row r="82" spans="1:6">
      <c r="A82" s="112" t="s">
        <v>334</v>
      </c>
      <c r="B82" s="147">
        <v>90</v>
      </c>
      <c r="C82" s="145">
        <v>0.95</v>
      </c>
      <c r="D82" s="145">
        <v>0.95200000000000007</v>
      </c>
      <c r="E82" s="145">
        <v>0.94900000000000007</v>
      </c>
      <c r="F82" s="145"/>
    </row>
    <row r="83" spans="1:6">
      <c r="A83" s="112" t="s">
        <v>334</v>
      </c>
      <c r="B83" s="147">
        <v>110</v>
      </c>
      <c r="C83" s="145">
        <v>0.95200000000000007</v>
      </c>
      <c r="D83" s="145">
        <v>0.95400000000000007</v>
      </c>
      <c r="E83" s="145">
        <v>0.95099999999999996</v>
      </c>
      <c r="F83" s="145"/>
    </row>
    <row r="84" spans="1:6">
      <c r="A84" s="112" t="s">
        <v>334</v>
      </c>
      <c r="B84" s="147">
        <v>132</v>
      </c>
      <c r="C84" s="145">
        <v>0.95400000000000007</v>
      </c>
      <c r="D84" s="145">
        <v>0.95599999999999996</v>
      </c>
      <c r="E84" s="145">
        <v>0.95400000000000007</v>
      </c>
      <c r="F84" s="145"/>
    </row>
    <row r="85" spans="1:6">
      <c r="A85" s="112" t="s">
        <v>334</v>
      </c>
      <c r="B85" s="147">
        <v>160</v>
      </c>
      <c r="C85" s="145">
        <v>0.95599999999999996</v>
      </c>
      <c r="D85" s="145">
        <v>0.95799999999999996</v>
      </c>
      <c r="E85" s="145">
        <v>0.95599999999999996</v>
      </c>
      <c r="F85" s="145"/>
    </row>
    <row r="86" spans="1:6">
      <c r="A86" s="112" t="s">
        <v>334</v>
      </c>
      <c r="B86" s="147">
        <v>185</v>
      </c>
      <c r="C86" s="145">
        <v>0.95799999999999996</v>
      </c>
      <c r="D86" s="145">
        <v>0.96</v>
      </c>
      <c r="E86" s="145">
        <v>0.95799999999999996</v>
      </c>
      <c r="F86" s="145"/>
    </row>
    <row r="87" spans="1:6">
      <c r="A87" s="112" t="s">
        <v>334</v>
      </c>
      <c r="B87" s="147">
        <v>200</v>
      </c>
      <c r="C87" s="145">
        <v>0.95799999999999996</v>
      </c>
      <c r="D87" s="145">
        <v>0.96</v>
      </c>
      <c r="E87" s="145">
        <v>0.95799999999999996</v>
      </c>
      <c r="F87" s="145"/>
    </row>
    <row r="88" spans="1:6">
      <c r="A88" s="112" t="s">
        <v>334</v>
      </c>
      <c r="B88" s="147">
        <v>220</v>
      </c>
      <c r="C88" s="145">
        <v>0.95799999999999996</v>
      </c>
      <c r="D88" s="145">
        <v>0.96</v>
      </c>
      <c r="E88" s="145">
        <v>0.95799999999999996</v>
      </c>
      <c r="F88" s="145"/>
    </row>
    <row r="89" spans="1:6">
      <c r="A89" s="112" t="s">
        <v>334</v>
      </c>
      <c r="B89" s="147">
        <v>250</v>
      </c>
      <c r="C89" s="145">
        <v>0.95799999999999996</v>
      </c>
      <c r="D89" s="145">
        <v>0.96</v>
      </c>
      <c r="E89" s="145">
        <v>0.95799999999999996</v>
      </c>
      <c r="F89" s="145"/>
    </row>
    <row r="90" spans="1:6">
      <c r="A90" s="112" t="s">
        <v>334</v>
      </c>
      <c r="B90" s="147">
        <v>280</v>
      </c>
      <c r="C90" s="145">
        <v>0.95799999999999996</v>
      </c>
      <c r="D90" s="145">
        <v>0.96</v>
      </c>
      <c r="E90" s="145">
        <v>0.95799999999999996</v>
      </c>
      <c r="F90" s="145"/>
    </row>
    <row r="91" spans="1:6">
      <c r="A91" s="112" t="s">
        <v>334</v>
      </c>
      <c r="B91" s="147">
        <v>300</v>
      </c>
      <c r="C91" s="145">
        <v>0.95799999999999996</v>
      </c>
      <c r="D91" s="145">
        <v>0.96</v>
      </c>
      <c r="E91" s="145">
        <v>0.95799999999999996</v>
      </c>
      <c r="F91" s="145"/>
    </row>
    <row r="92" spans="1:6">
      <c r="A92" s="112" t="s">
        <v>334</v>
      </c>
      <c r="B92" s="147">
        <v>315</v>
      </c>
      <c r="C92" s="145">
        <v>0.95799999999999996</v>
      </c>
      <c r="D92" s="145">
        <v>0.96</v>
      </c>
      <c r="E92" s="145">
        <v>0.95799999999999996</v>
      </c>
      <c r="F92" s="145"/>
    </row>
    <row r="93" spans="1:6">
      <c r="A93" s="112" t="s">
        <v>334</v>
      </c>
      <c r="B93" s="147">
        <v>355</v>
      </c>
      <c r="C93" s="145">
        <v>0.95799999999999996</v>
      </c>
      <c r="D93" s="145">
        <v>0.96</v>
      </c>
      <c r="E93" s="145">
        <v>0.95799999999999996</v>
      </c>
      <c r="F93" s="145"/>
    </row>
    <row r="94" spans="1:6">
      <c r="A94" s="112" t="s">
        <v>334</v>
      </c>
      <c r="B94" s="147">
        <v>375</v>
      </c>
      <c r="C94" s="145">
        <v>0.95799999999999996</v>
      </c>
      <c r="D94" s="145">
        <v>0.96</v>
      </c>
      <c r="E94" s="145">
        <v>0.95799999999999996</v>
      </c>
      <c r="F94" s="145"/>
    </row>
    <row r="95" spans="1:6">
      <c r="A95" s="112" t="s">
        <v>335</v>
      </c>
      <c r="B95" s="144">
        <v>0.75</v>
      </c>
      <c r="C95" s="145">
        <v>0.83499999999999996</v>
      </c>
      <c r="D95" s="145">
        <v>0.85699999999999998</v>
      </c>
      <c r="E95" s="145">
        <v>0.82700000000000007</v>
      </c>
      <c r="F95" s="145">
        <v>0.78400000000000003</v>
      </c>
    </row>
    <row r="96" spans="1:6">
      <c r="A96" s="112" t="s">
        <v>335</v>
      </c>
      <c r="B96" s="146">
        <v>1.1000000000000001</v>
      </c>
      <c r="C96" s="145">
        <v>0.85199999999999998</v>
      </c>
      <c r="D96" s="145">
        <v>0.872</v>
      </c>
      <c r="E96" s="145">
        <v>0.84499999999999997</v>
      </c>
      <c r="F96" s="145">
        <v>0.80799999999999994</v>
      </c>
    </row>
    <row r="97" spans="1:6">
      <c r="A97" s="112" t="s">
        <v>335</v>
      </c>
      <c r="B97" s="146">
        <v>1.5</v>
      </c>
      <c r="C97" s="145">
        <v>0.86499999999999999</v>
      </c>
      <c r="D97" s="145">
        <v>0.88200000000000001</v>
      </c>
      <c r="E97" s="145">
        <v>0.8590000000000001</v>
      </c>
      <c r="F97" s="145">
        <v>0.82599999999999996</v>
      </c>
    </row>
    <row r="98" spans="1:6">
      <c r="A98" s="112" t="s">
        <v>335</v>
      </c>
      <c r="B98" s="146">
        <v>2.2000000000000002</v>
      </c>
      <c r="C98" s="145">
        <v>0.88</v>
      </c>
      <c r="D98" s="145">
        <v>0.89500000000000002</v>
      </c>
      <c r="E98" s="145">
        <v>0.87400000000000011</v>
      </c>
      <c r="F98" s="145">
        <v>0.84499999999999997</v>
      </c>
    </row>
    <row r="99" spans="1:6">
      <c r="A99" s="112" t="s">
        <v>335</v>
      </c>
      <c r="B99" s="146">
        <v>3</v>
      </c>
      <c r="C99" s="145">
        <v>0.8909999999999999</v>
      </c>
      <c r="D99" s="145">
        <v>0.90400000000000003</v>
      </c>
      <c r="E99" s="145">
        <v>0.8859999999999999</v>
      </c>
      <c r="F99" s="145">
        <v>0.8590000000000001</v>
      </c>
    </row>
    <row r="100" spans="1:6">
      <c r="A100" s="112" t="s">
        <v>335</v>
      </c>
      <c r="B100" s="146">
        <v>3.7</v>
      </c>
      <c r="C100" s="145">
        <v>0.89700000000000002</v>
      </c>
      <c r="D100" s="145">
        <v>0.90900000000000003</v>
      </c>
      <c r="E100" s="145">
        <v>0.89300000000000002</v>
      </c>
      <c r="F100" s="145">
        <v>0.86799999999999999</v>
      </c>
    </row>
    <row r="101" spans="1:6">
      <c r="A101" s="112" t="s">
        <v>335</v>
      </c>
      <c r="B101" s="146">
        <v>4</v>
      </c>
      <c r="C101" s="145">
        <v>0.9</v>
      </c>
      <c r="D101" s="145">
        <v>0.91099999999999992</v>
      </c>
      <c r="E101" s="145">
        <v>0.89500000000000002</v>
      </c>
      <c r="F101" s="145">
        <v>0.871</v>
      </c>
    </row>
    <row r="102" spans="1:6">
      <c r="A102" s="112" t="s">
        <v>335</v>
      </c>
      <c r="B102" s="146">
        <v>5.5</v>
      </c>
      <c r="C102" s="145">
        <v>0.90900000000000003</v>
      </c>
      <c r="D102" s="145">
        <v>0.91900000000000004</v>
      </c>
      <c r="E102" s="145">
        <v>0.90500000000000003</v>
      </c>
      <c r="F102" s="145">
        <v>0.88300000000000001</v>
      </c>
    </row>
    <row r="103" spans="1:6">
      <c r="A103" s="112" t="s">
        <v>335</v>
      </c>
      <c r="B103" s="146">
        <v>7.5</v>
      </c>
      <c r="C103" s="145">
        <v>0.91700000000000004</v>
      </c>
      <c r="D103" s="145">
        <v>0.92599999999999993</v>
      </c>
      <c r="E103" s="145">
        <v>0.91299999999999992</v>
      </c>
      <c r="F103" s="145">
        <v>0.89300000000000002</v>
      </c>
    </row>
    <row r="104" spans="1:6">
      <c r="A104" s="112" t="s">
        <v>335</v>
      </c>
      <c r="B104" s="147">
        <v>11</v>
      </c>
      <c r="C104" s="145">
        <v>0.92599999999999993</v>
      </c>
      <c r="D104" s="145">
        <v>0.93299999999999994</v>
      </c>
      <c r="E104" s="145">
        <v>0.92299999999999993</v>
      </c>
      <c r="F104" s="145">
        <v>0.90400000000000003</v>
      </c>
    </row>
    <row r="105" spans="1:6">
      <c r="A105" s="112" t="s">
        <v>335</v>
      </c>
      <c r="B105" s="147">
        <v>15</v>
      </c>
      <c r="C105" s="145">
        <v>0.93299999999999994</v>
      </c>
      <c r="D105" s="145">
        <v>0.93900000000000006</v>
      </c>
      <c r="E105" s="145">
        <v>0.92900000000000005</v>
      </c>
      <c r="F105" s="145">
        <v>0.91200000000000003</v>
      </c>
    </row>
    <row r="106" spans="1:6">
      <c r="A106" s="112" t="s">
        <v>335</v>
      </c>
      <c r="B106" s="147">
        <v>18.5</v>
      </c>
      <c r="C106" s="145">
        <v>0.93700000000000006</v>
      </c>
      <c r="D106" s="145">
        <v>0.94200000000000006</v>
      </c>
      <c r="E106" s="145">
        <v>0.93400000000000005</v>
      </c>
      <c r="F106" s="145">
        <v>0.91700000000000004</v>
      </c>
    </row>
    <row r="107" spans="1:6">
      <c r="A107" s="112" t="s">
        <v>335</v>
      </c>
      <c r="B107" s="147">
        <v>22</v>
      </c>
      <c r="C107" s="145">
        <v>0.94</v>
      </c>
      <c r="D107" s="145">
        <v>0.94499999999999995</v>
      </c>
      <c r="E107" s="145">
        <v>0.93700000000000006</v>
      </c>
      <c r="F107" s="145">
        <v>0.92099999999999993</v>
      </c>
    </row>
    <row r="108" spans="1:6">
      <c r="A108" s="112" t="s">
        <v>335</v>
      </c>
      <c r="B108" s="147">
        <v>30</v>
      </c>
      <c r="C108" s="145">
        <v>0.94499999999999995</v>
      </c>
      <c r="D108" s="145">
        <v>0.94900000000000007</v>
      </c>
      <c r="E108" s="145">
        <v>0.94200000000000006</v>
      </c>
      <c r="F108" s="145">
        <v>0.92700000000000005</v>
      </c>
    </row>
    <row r="109" spans="1:6">
      <c r="A109" s="112" t="s">
        <v>335</v>
      </c>
      <c r="B109" s="147">
        <v>37</v>
      </c>
      <c r="C109" s="145">
        <v>0.94799999999999995</v>
      </c>
      <c r="D109" s="145">
        <v>0.95200000000000007</v>
      </c>
      <c r="E109" s="145">
        <v>0.94499999999999995</v>
      </c>
      <c r="F109" s="145">
        <v>0.93099999999999994</v>
      </c>
    </row>
    <row r="110" spans="1:6">
      <c r="A110" s="112" t="s">
        <v>335</v>
      </c>
      <c r="B110" s="147">
        <v>45</v>
      </c>
      <c r="C110" s="145">
        <v>0.95</v>
      </c>
      <c r="D110" s="145">
        <v>0.95400000000000007</v>
      </c>
      <c r="E110" s="145">
        <v>0.94799999999999995</v>
      </c>
      <c r="F110" s="145">
        <v>0.93400000000000005</v>
      </c>
    </row>
    <row r="111" spans="1:6">
      <c r="A111" s="112" t="s">
        <v>335</v>
      </c>
      <c r="B111" s="147">
        <v>55</v>
      </c>
      <c r="C111" s="145">
        <v>0.95299999999999996</v>
      </c>
      <c r="D111" s="145">
        <v>0.95700000000000007</v>
      </c>
      <c r="E111" s="145">
        <v>0.95099999999999996</v>
      </c>
      <c r="F111" s="145">
        <v>0.93700000000000006</v>
      </c>
    </row>
    <row r="112" spans="1:6">
      <c r="A112" s="112" t="s">
        <v>335</v>
      </c>
      <c r="B112" s="147">
        <v>75</v>
      </c>
      <c r="C112" s="145">
        <v>0.95599999999999996</v>
      </c>
      <c r="D112" s="145">
        <v>0.96</v>
      </c>
      <c r="E112" s="145">
        <v>0.95400000000000007</v>
      </c>
      <c r="F112" s="145">
        <v>0.94200000000000006</v>
      </c>
    </row>
    <row r="113" spans="1:6">
      <c r="A113" s="112" t="s">
        <v>335</v>
      </c>
      <c r="B113" s="147">
        <v>90</v>
      </c>
      <c r="C113" s="145">
        <v>0.95799999999999996</v>
      </c>
      <c r="D113" s="145">
        <v>0.96099999999999997</v>
      </c>
      <c r="E113" s="145">
        <v>0.95599999999999996</v>
      </c>
      <c r="F113" s="145">
        <v>0.94400000000000006</v>
      </c>
    </row>
    <row r="114" spans="1:6">
      <c r="A114" s="112" t="s">
        <v>335</v>
      </c>
      <c r="B114" s="147">
        <v>110</v>
      </c>
      <c r="C114" s="145">
        <v>0.96</v>
      </c>
      <c r="D114" s="145">
        <v>0.96299999999999997</v>
      </c>
      <c r="E114" s="145">
        <v>0.95799999999999996</v>
      </c>
      <c r="F114" s="145">
        <v>0.94700000000000006</v>
      </c>
    </row>
    <row r="115" spans="1:6">
      <c r="A115" s="112" t="s">
        <v>335</v>
      </c>
      <c r="B115" s="147">
        <v>132</v>
      </c>
      <c r="C115" s="145">
        <v>0.96200000000000008</v>
      </c>
      <c r="D115" s="145">
        <v>0.96400000000000008</v>
      </c>
      <c r="E115" s="145">
        <v>0.96</v>
      </c>
      <c r="F115" s="145">
        <v>0.94900000000000007</v>
      </c>
    </row>
    <row r="116" spans="1:6">
      <c r="A116" s="112" t="s">
        <v>335</v>
      </c>
      <c r="B116" s="147">
        <v>160</v>
      </c>
      <c r="C116" s="145">
        <v>0.96299999999999997</v>
      </c>
      <c r="D116" s="145">
        <v>0.96599999999999997</v>
      </c>
      <c r="E116" s="145">
        <v>0.96200000000000008</v>
      </c>
      <c r="F116" s="145">
        <v>0.95099999999999996</v>
      </c>
    </row>
    <row r="117" spans="1:6">
      <c r="A117" s="112" t="s">
        <v>335</v>
      </c>
      <c r="B117" s="147">
        <v>200</v>
      </c>
      <c r="C117" s="145">
        <v>0.96499999999999997</v>
      </c>
      <c r="D117" s="145">
        <v>0.96700000000000008</v>
      </c>
      <c r="E117" s="145">
        <v>0.96299999999999997</v>
      </c>
      <c r="F117" s="145">
        <v>0.95400000000000007</v>
      </c>
    </row>
    <row r="118" spans="1:6">
      <c r="A118" s="112" t="s">
        <v>335</v>
      </c>
      <c r="B118" s="147">
        <v>250</v>
      </c>
      <c r="C118" s="145">
        <v>0.96499999999999997</v>
      </c>
      <c r="D118" s="145">
        <v>0.96700000000000008</v>
      </c>
      <c r="E118" s="145">
        <v>0.96499999999999997</v>
      </c>
      <c r="F118" s="145">
        <v>0.95400000000000007</v>
      </c>
    </row>
    <row r="119" spans="1:6">
      <c r="A119" s="112" t="s">
        <v>335</v>
      </c>
      <c r="B119" s="147">
        <v>315</v>
      </c>
      <c r="C119" s="148">
        <v>0.96499999999999997</v>
      </c>
      <c r="D119" s="148">
        <v>0.96700000000000008</v>
      </c>
      <c r="E119" s="148">
        <v>0.96599999999999997</v>
      </c>
      <c r="F119" s="148">
        <v>0.95400000000000007</v>
      </c>
    </row>
    <row r="120" spans="1:6">
      <c r="A120" s="112" t="s">
        <v>335</v>
      </c>
      <c r="B120" s="149">
        <v>355</v>
      </c>
      <c r="C120" s="148">
        <v>0.96499999999999997</v>
      </c>
      <c r="D120" s="148">
        <v>0.96700000000000008</v>
      </c>
      <c r="E120" s="148">
        <v>0.96599999999999997</v>
      </c>
      <c r="F120" s="148">
        <v>0.95400000000000007</v>
      </c>
    </row>
    <row r="121" spans="1:6">
      <c r="A121" s="112" t="s">
        <v>335</v>
      </c>
      <c r="B121" s="149">
        <v>375</v>
      </c>
      <c r="C121" s="145">
        <v>0.96499999999999997</v>
      </c>
      <c r="D121" s="145">
        <v>0.96700000000000008</v>
      </c>
      <c r="E121" s="145">
        <v>0.96599999999999997</v>
      </c>
      <c r="F121" s="145">
        <v>0.95400000000000007</v>
      </c>
    </row>
    <row r="122" spans="1:6">
      <c r="A122" s="112" t="s">
        <v>335</v>
      </c>
      <c r="B122" s="147">
        <v>1000</v>
      </c>
      <c r="C122" s="148">
        <v>0.96499999999999997</v>
      </c>
      <c r="D122" s="148">
        <v>0.96700000000000008</v>
      </c>
      <c r="E122" s="148">
        <v>0.96599999999999997</v>
      </c>
      <c r="F122" s="148">
        <v>0.95400000000000007</v>
      </c>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B618-91E2-4E0D-86F2-AF75101220E5}">
  <sheetPr>
    <tabColor rgb="FFFFFF00"/>
    <pageSetUpPr fitToPage="1"/>
  </sheetPr>
  <dimension ref="A1:J39"/>
  <sheetViews>
    <sheetView showGridLines="0" zoomScaleNormal="100" zoomScaleSheetLayoutView="100" workbookViewId="0">
      <selection sqref="A1:J1"/>
    </sheetView>
  </sheetViews>
  <sheetFormatPr defaultColWidth="8.08203125" defaultRowHeight="18"/>
  <cols>
    <col min="1" max="2" width="12.58203125" customWidth="1"/>
    <col min="3" max="10" width="9.58203125" customWidth="1"/>
  </cols>
  <sheetData>
    <row r="1" spans="1:10" ht="16.899999999999999" customHeight="1">
      <c r="A1" s="1512" t="s">
        <v>1179</v>
      </c>
      <c r="B1" s="1512"/>
      <c r="C1" s="1512"/>
      <c r="D1" s="1512"/>
      <c r="E1" s="1512"/>
      <c r="F1" s="1512"/>
      <c r="G1" s="1512"/>
      <c r="H1" s="1512"/>
      <c r="I1" s="1512"/>
      <c r="J1" s="1512"/>
    </row>
    <row r="2" spans="1:10" ht="30" customHeight="1">
      <c r="A2" s="1513" t="s">
        <v>1181</v>
      </c>
      <c r="B2" s="1514"/>
      <c r="C2" s="1514"/>
      <c r="D2" s="1514"/>
      <c r="E2" s="1514"/>
      <c r="F2" s="1514"/>
      <c r="G2" s="1514"/>
      <c r="H2" s="1514"/>
      <c r="I2" s="1514"/>
      <c r="J2" s="1514"/>
    </row>
    <row r="3" spans="1:10" ht="19.899999999999999" customHeight="1">
      <c r="A3" s="1515" t="s">
        <v>27</v>
      </c>
      <c r="B3" s="1515"/>
      <c r="C3" s="1470" t="str">
        <f>実績表2!D31</f>
        <v>令和6年4月～令和7年3月</v>
      </c>
      <c r="D3" s="1470"/>
      <c r="E3" s="1470"/>
      <c r="F3" s="1470"/>
      <c r="G3" s="1470" t="str">
        <f>実績表2!K31</f>
        <v>令和7年4月～令和8年3月</v>
      </c>
      <c r="H3" s="1470"/>
      <c r="I3" s="1470"/>
      <c r="J3" s="1470"/>
    </row>
    <row r="4" spans="1:10" s="638" customFormat="1" ht="78.75" customHeight="1">
      <c r="A4" s="1516" t="s">
        <v>881</v>
      </c>
      <c r="B4" s="1517"/>
      <c r="C4" s="1013" t="s">
        <v>882</v>
      </c>
      <c r="D4" s="1013" t="s">
        <v>883</v>
      </c>
      <c r="E4" s="1013" t="s">
        <v>884</v>
      </c>
      <c r="F4" s="1013" t="s">
        <v>885</v>
      </c>
      <c r="G4" s="1013" t="s">
        <v>882</v>
      </c>
      <c r="H4" s="1013" t="s">
        <v>883</v>
      </c>
      <c r="I4" s="1013" t="s">
        <v>884</v>
      </c>
      <c r="J4" s="1013" t="s">
        <v>885</v>
      </c>
    </row>
    <row r="5" spans="1:10" ht="15" customHeight="1">
      <c r="A5" s="1518" t="s">
        <v>7</v>
      </c>
      <c r="B5" s="1519"/>
      <c r="C5" s="1011" t="s">
        <v>886</v>
      </c>
      <c r="D5" s="1012" t="str">
        <f>$C$5</f>
        <v>トン</v>
      </c>
      <c r="E5" s="1012" t="str">
        <f>$C$5</f>
        <v>トン</v>
      </c>
      <c r="F5" s="1012" t="s">
        <v>52</v>
      </c>
      <c r="G5" s="1012" t="str">
        <f>$C$5</f>
        <v>トン</v>
      </c>
      <c r="H5" s="1012" t="str">
        <f>$C$5</f>
        <v>トン</v>
      </c>
      <c r="I5" s="1012" t="str">
        <f>$C$5</f>
        <v>トン</v>
      </c>
      <c r="J5" s="1012" t="s">
        <v>52</v>
      </c>
    </row>
    <row r="6" spans="1:10" ht="30" customHeight="1">
      <c r="A6" s="1511" t="s">
        <v>887</v>
      </c>
      <c r="B6" s="1511"/>
      <c r="C6" s="647"/>
      <c r="D6" s="647"/>
      <c r="E6" s="639">
        <f>C6+D6</f>
        <v>0</v>
      </c>
      <c r="F6" s="640" t="str">
        <f>IFERROR(C6/E6,"0")</f>
        <v>0</v>
      </c>
      <c r="G6" s="647"/>
      <c r="H6" s="647"/>
      <c r="I6" s="639">
        <f>G6+H6</f>
        <v>0</v>
      </c>
      <c r="J6" s="640" t="str">
        <f>IFERROR(G6/I6,"0")</f>
        <v>0</v>
      </c>
    </row>
    <row r="7" spans="1:10" ht="30" customHeight="1">
      <c r="A7" s="1511" t="s">
        <v>888</v>
      </c>
      <c r="B7" s="1511"/>
      <c r="C7" s="647"/>
      <c r="D7" s="647"/>
      <c r="E7" s="639">
        <f>C7+D7</f>
        <v>0</v>
      </c>
      <c r="F7" s="640" t="str">
        <f t="shared" ref="F7:F11" si="0">IFERROR(C7/E7,"0")</f>
        <v>0</v>
      </c>
      <c r="G7" s="647"/>
      <c r="H7" s="647"/>
      <c r="I7" s="639">
        <f t="shared" ref="I7:I11" si="1">G7+H7</f>
        <v>0</v>
      </c>
      <c r="J7" s="640" t="str">
        <f t="shared" ref="J7:J12" si="2">IFERROR(G7/I7,"0")</f>
        <v>0</v>
      </c>
    </row>
    <row r="8" spans="1:10" ht="30" customHeight="1">
      <c r="A8" s="1511" t="s">
        <v>889</v>
      </c>
      <c r="B8" s="1511"/>
      <c r="C8" s="647"/>
      <c r="D8" s="647"/>
      <c r="E8" s="639">
        <f t="shared" ref="E8:E11" si="3">C8+D8</f>
        <v>0</v>
      </c>
      <c r="F8" s="640" t="str">
        <f t="shared" si="0"/>
        <v>0</v>
      </c>
      <c r="G8" s="647"/>
      <c r="H8" s="647"/>
      <c r="I8" s="639">
        <f t="shared" si="1"/>
        <v>0</v>
      </c>
      <c r="J8" s="640" t="str">
        <f t="shared" si="2"/>
        <v>0</v>
      </c>
    </row>
    <row r="9" spans="1:10" ht="30" customHeight="1">
      <c r="A9" s="1511" t="s">
        <v>890</v>
      </c>
      <c r="B9" s="1511"/>
      <c r="C9" s="647"/>
      <c r="D9" s="647"/>
      <c r="E9" s="639">
        <f t="shared" si="3"/>
        <v>0</v>
      </c>
      <c r="F9" s="640" t="str">
        <f t="shared" si="0"/>
        <v>0</v>
      </c>
      <c r="G9" s="647"/>
      <c r="H9" s="647"/>
      <c r="I9" s="639">
        <f t="shared" si="1"/>
        <v>0</v>
      </c>
      <c r="J9" s="640" t="str">
        <f t="shared" si="2"/>
        <v>0</v>
      </c>
    </row>
    <row r="10" spans="1:10" ht="30" customHeight="1">
      <c r="A10" s="1511"/>
      <c r="B10" s="1511"/>
      <c r="C10" s="647"/>
      <c r="D10" s="647"/>
      <c r="E10" s="639">
        <f t="shared" si="3"/>
        <v>0</v>
      </c>
      <c r="F10" s="640" t="str">
        <f t="shared" si="0"/>
        <v>0</v>
      </c>
      <c r="G10" s="647"/>
      <c r="H10" s="647"/>
      <c r="I10" s="639">
        <f t="shared" si="1"/>
        <v>0</v>
      </c>
      <c r="J10" s="640" t="str">
        <f t="shared" si="2"/>
        <v>0</v>
      </c>
    </row>
    <row r="11" spans="1:10" ht="30" customHeight="1">
      <c r="A11" s="1511"/>
      <c r="B11" s="1511"/>
      <c r="C11" s="647"/>
      <c r="D11" s="647"/>
      <c r="E11" s="639">
        <f t="shared" si="3"/>
        <v>0</v>
      </c>
      <c r="F11" s="640" t="str">
        <f t="shared" si="0"/>
        <v>0</v>
      </c>
      <c r="G11" s="647"/>
      <c r="H11" s="647"/>
      <c r="I11" s="639">
        <f t="shared" si="1"/>
        <v>0</v>
      </c>
      <c r="J11" s="640" t="str">
        <f t="shared" si="2"/>
        <v>0</v>
      </c>
    </row>
    <row r="12" spans="1:10" s="641" customFormat="1" ht="30" customHeight="1">
      <c r="A12" s="1520" t="s">
        <v>891</v>
      </c>
      <c r="B12" s="1520"/>
      <c r="C12" s="1014">
        <f>SUM(C6:C11)</f>
        <v>0</v>
      </c>
      <c r="D12" s="1014">
        <f>SUM(D6:D11)</f>
        <v>0</v>
      </c>
      <c r="E12" s="1015">
        <f>C12+D12</f>
        <v>0</v>
      </c>
      <c r="F12" s="1016" t="str">
        <f>IFERROR(C12/E12,"0")</f>
        <v>0</v>
      </c>
      <c r="G12" s="1014">
        <f>SUM(G6:G11)</f>
        <v>0</v>
      </c>
      <c r="H12" s="1014">
        <f>SUM(H6:H11)</f>
        <v>0</v>
      </c>
      <c r="I12" s="1015">
        <f>G12+H12</f>
        <v>0</v>
      </c>
      <c r="J12" s="1016" t="str">
        <f t="shared" si="2"/>
        <v>0</v>
      </c>
    </row>
    <row r="13" spans="1:10" ht="30.65" customHeight="1">
      <c r="A13" s="1521" t="s">
        <v>892</v>
      </c>
      <c r="B13" s="642" t="s">
        <v>893</v>
      </c>
      <c r="C13" s="648" t="str">
        <f>IFERROR(C$12/実績表1!$D17,"0")</f>
        <v>0</v>
      </c>
      <c r="D13" s="648" t="str">
        <f>IFERROR(D$12/実績表1!$D17,"0")</f>
        <v>0</v>
      </c>
      <c r="E13" s="648" t="str">
        <f>IFERROR(E$12/実績表1!$D17,"0")</f>
        <v>0</v>
      </c>
      <c r="F13" s="644" t="s">
        <v>894</v>
      </c>
      <c r="G13" s="648" t="str">
        <f>IFERROR(G$12/実績表1!$G17,"0")</f>
        <v>0</v>
      </c>
      <c r="H13" s="648" t="str">
        <f>IFERROR(H$12/実績表1!$G17,"0")</f>
        <v>0</v>
      </c>
      <c r="I13" s="648" t="str">
        <f>IFERROR(I$12/実績表1!$G17,"0")</f>
        <v>0</v>
      </c>
      <c r="J13" s="644" t="s">
        <v>894</v>
      </c>
    </row>
    <row r="14" spans="1:10" ht="30.65" customHeight="1">
      <c r="A14" s="1521"/>
      <c r="B14" s="645" t="s">
        <v>895</v>
      </c>
      <c r="C14" s="648" t="str">
        <f>IFERROR(C$12/実績表1!$D18,"0")</f>
        <v>0</v>
      </c>
      <c r="D14" s="648" t="str">
        <f>IFERROR(D$12/実績表1!$D18,"0")</f>
        <v>0</v>
      </c>
      <c r="E14" s="648" t="str">
        <f>IFERROR(E$12/実績表1!$D18,"0")</f>
        <v>0</v>
      </c>
      <c r="F14" s="644" t="s">
        <v>894</v>
      </c>
      <c r="G14" s="648" t="str">
        <f>IFERROR(G$12/実績表1!$G18,"0")</f>
        <v>0</v>
      </c>
      <c r="H14" s="648" t="str">
        <f>IFERROR(H$12/実績表1!$G18,"0")</f>
        <v>0</v>
      </c>
      <c r="I14" s="648" t="str">
        <f>IFERROR(I$12/実績表1!$G18,"0")</f>
        <v>0</v>
      </c>
      <c r="J14" s="644" t="s">
        <v>894</v>
      </c>
    </row>
    <row r="15" spans="1:10" ht="22.9" customHeight="1">
      <c r="A15" s="1522" t="s">
        <v>1183</v>
      </c>
      <c r="B15" s="1522"/>
      <c r="C15" s="1522"/>
      <c r="D15" s="1522"/>
      <c r="E15" s="1522"/>
      <c r="F15" s="1522"/>
      <c r="G15" s="1522"/>
      <c r="H15" s="1522"/>
      <c r="I15" s="1522"/>
      <c r="J15" s="1522"/>
    </row>
    <row r="16" spans="1:10" ht="19.899999999999999" customHeight="1">
      <c r="A16" s="1512" t="s">
        <v>1180</v>
      </c>
      <c r="B16" s="1512"/>
      <c r="C16" s="1512"/>
      <c r="D16" s="1512"/>
      <c r="E16" s="1512"/>
      <c r="F16" s="1512"/>
      <c r="G16" s="1512"/>
      <c r="H16" s="1512"/>
      <c r="I16" s="1512"/>
      <c r="J16" s="1512"/>
    </row>
    <row r="17" spans="1:10" ht="30" customHeight="1">
      <c r="A17" s="1513" t="s">
        <v>1181</v>
      </c>
      <c r="B17" s="1514"/>
      <c r="C17" s="1514"/>
      <c r="D17" s="1514"/>
      <c r="E17" s="1514"/>
      <c r="F17" s="1514"/>
      <c r="G17" s="1514"/>
      <c r="H17" s="1514"/>
      <c r="I17" s="1514"/>
      <c r="J17" s="1514"/>
    </row>
    <row r="18" spans="1:10" ht="19.899999999999999" customHeight="1">
      <c r="A18" s="1515" t="s">
        <v>27</v>
      </c>
      <c r="B18" s="1515"/>
      <c r="C18" s="1470" t="str">
        <f>C3</f>
        <v>令和6年4月～令和7年3月</v>
      </c>
      <c r="D18" s="1470"/>
      <c r="E18" s="1470"/>
      <c r="F18" s="1470"/>
      <c r="G18" s="1470" t="str">
        <f>G3</f>
        <v>令和7年4月～令和8年3月</v>
      </c>
      <c r="H18" s="1470"/>
      <c r="I18" s="1470"/>
      <c r="J18" s="1470"/>
    </row>
    <row r="19" spans="1:10" s="638" customFormat="1" ht="78.75" customHeight="1">
      <c r="A19" s="1516" t="s">
        <v>881</v>
      </c>
      <c r="B19" s="1517"/>
      <c r="C19" s="1013" t="s">
        <v>882</v>
      </c>
      <c r="D19" s="1013" t="s">
        <v>883</v>
      </c>
      <c r="E19" s="1013" t="s">
        <v>884</v>
      </c>
      <c r="F19" s="1013" t="s">
        <v>885</v>
      </c>
      <c r="G19" s="1013" t="s">
        <v>882</v>
      </c>
      <c r="H19" s="1013" t="s">
        <v>883</v>
      </c>
      <c r="I19" s="1013" t="s">
        <v>884</v>
      </c>
      <c r="J19" s="1013" t="s">
        <v>885</v>
      </c>
    </row>
    <row r="20" spans="1:10" ht="15" customHeight="1">
      <c r="A20" s="1518" t="s">
        <v>7</v>
      </c>
      <c r="B20" s="1519"/>
      <c r="C20" s="1011" t="s">
        <v>886</v>
      </c>
      <c r="D20" s="1012" t="str">
        <f>$C$20</f>
        <v>トン</v>
      </c>
      <c r="E20" s="1012" t="str">
        <f>$C$20</f>
        <v>トン</v>
      </c>
      <c r="F20" s="1012" t="s">
        <v>52</v>
      </c>
      <c r="G20" s="1012" t="str">
        <f>$C$20</f>
        <v>トン</v>
      </c>
      <c r="H20" s="1012" t="str">
        <f t="shared" ref="H20:I20" si="4">$C$20</f>
        <v>トン</v>
      </c>
      <c r="I20" s="1012" t="str">
        <f t="shared" si="4"/>
        <v>トン</v>
      </c>
      <c r="J20" s="1012" t="s">
        <v>52</v>
      </c>
    </row>
    <row r="21" spans="1:10" ht="30" customHeight="1">
      <c r="A21" s="1511" t="s">
        <v>896</v>
      </c>
      <c r="B21" s="1511"/>
      <c r="C21" s="647"/>
      <c r="D21" s="647"/>
      <c r="E21" s="639">
        <f>C21+D21</f>
        <v>0</v>
      </c>
      <c r="F21" s="640" t="str">
        <f>IFERROR(C21/E21,"0")</f>
        <v>0</v>
      </c>
      <c r="G21" s="647"/>
      <c r="H21" s="647"/>
      <c r="I21" s="639">
        <f>G21+H21</f>
        <v>0</v>
      </c>
      <c r="J21" s="640" t="str">
        <f>IFERROR(G21/I21,"0")</f>
        <v>0</v>
      </c>
    </row>
    <row r="22" spans="1:10" ht="30" customHeight="1">
      <c r="A22" s="1511" t="s">
        <v>897</v>
      </c>
      <c r="B22" s="1511"/>
      <c r="C22" s="647"/>
      <c r="D22" s="647"/>
      <c r="E22" s="639">
        <f t="shared" ref="E22:E29" si="5">C22+D22</f>
        <v>0</v>
      </c>
      <c r="F22" s="640" t="str">
        <f t="shared" ref="F22:F36" si="6">IFERROR(C22/E22,"0")</f>
        <v>0</v>
      </c>
      <c r="G22" s="647"/>
      <c r="H22" s="647"/>
      <c r="I22" s="639">
        <f t="shared" ref="I22:I29" si="7">G22+H22</f>
        <v>0</v>
      </c>
      <c r="J22" s="640" t="str">
        <f t="shared" ref="J22:J36" si="8">IFERROR(G22/I22,"0")</f>
        <v>0</v>
      </c>
    </row>
    <row r="23" spans="1:10" ht="30" customHeight="1">
      <c r="A23" s="1524" t="s">
        <v>898</v>
      </c>
      <c r="B23" s="1525"/>
      <c r="C23" s="647"/>
      <c r="D23" s="647"/>
      <c r="E23" s="639">
        <f t="shared" si="5"/>
        <v>0</v>
      </c>
      <c r="F23" s="640" t="str">
        <f t="shared" si="6"/>
        <v>0</v>
      </c>
      <c r="G23" s="647"/>
      <c r="H23" s="647"/>
      <c r="I23" s="639">
        <f t="shared" si="7"/>
        <v>0</v>
      </c>
      <c r="J23" s="640" t="str">
        <f t="shared" si="8"/>
        <v>0</v>
      </c>
    </row>
    <row r="24" spans="1:10" ht="30" customHeight="1">
      <c r="A24" s="1511" t="s">
        <v>899</v>
      </c>
      <c r="B24" s="1511"/>
      <c r="C24" s="647"/>
      <c r="D24" s="647"/>
      <c r="E24" s="639">
        <f t="shared" si="5"/>
        <v>0</v>
      </c>
      <c r="F24" s="640" t="str">
        <f t="shared" si="6"/>
        <v>0</v>
      </c>
      <c r="G24" s="647"/>
      <c r="H24" s="647"/>
      <c r="I24" s="639">
        <f t="shared" si="7"/>
        <v>0</v>
      </c>
      <c r="J24" s="640" t="str">
        <f t="shared" si="8"/>
        <v>0</v>
      </c>
    </row>
    <row r="25" spans="1:10" ht="30" customHeight="1">
      <c r="A25" s="1511" t="s">
        <v>900</v>
      </c>
      <c r="B25" s="1511"/>
      <c r="C25" s="647"/>
      <c r="D25" s="647"/>
      <c r="E25" s="639">
        <f t="shared" si="5"/>
        <v>0</v>
      </c>
      <c r="F25" s="640" t="str">
        <f t="shared" si="6"/>
        <v>0</v>
      </c>
      <c r="G25" s="647"/>
      <c r="H25" s="647"/>
      <c r="I25" s="639">
        <f t="shared" si="7"/>
        <v>0</v>
      </c>
      <c r="J25" s="640" t="str">
        <f t="shared" si="8"/>
        <v>0</v>
      </c>
    </row>
    <row r="26" spans="1:10" ht="30" customHeight="1">
      <c r="A26" s="1511" t="s">
        <v>901</v>
      </c>
      <c r="B26" s="1511"/>
      <c r="C26" s="647"/>
      <c r="D26" s="647"/>
      <c r="E26" s="639">
        <f t="shared" si="5"/>
        <v>0</v>
      </c>
      <c r="F26" s="640" t="str">
        <f t="shared" si="6"/>
        <v>0</v>
      </c>
      <c r="G26" s="647"/>
      <c r="H26" s="647"/>
      <c r="I26" s="639">
        <f t="shared" si="7"/>
        <v>0</v>
      </c>
      <c r="J26" s="640" t="str">
        <f t="shared" si="8"/>
        <v>0</v>
      </c>
    </row>
    <row r="27" spans="1:10" ht="30" customHeight="1">
      <c r="A27" s="1511" t="s">
        <v>902</v>
      </c>
      <c r="B27" s="1511"/>
      <c r="C27" s="647"/>
      <c r="D27" s="647"/>
      <c r="E27" s="639">
        <f t="shared" si="5"/>
        <v>0</v>
      </c>
      <c r="F27" s="640" t="str">
        <f t="shared" si="6"/>
        <v>0</v>
      </c>
      <c r="G27" s="647"/>
      <c r="H27" s="647"/>
      <c r="I27" s="639">
        <f t="shared" si="7"/>
        <v>0</v>
      </c>
      <c r="J27" s="640" t="str">
        <f t="shared" si="8"/>
        <v>0</v>
      </c>
    </row>
    <row r="28" spans="1:10" ht="30" customHeight="1">
      <c r="A28" s="1511"/>
      <c r="B28" s="1511"/>
      <c r="C28" s="647"/>
      <c r="D28" s="647"/>
      <c r="E28" s="639">
        <f t="shared" si="5"/>
        <v>0</v>
      </c>
      <c r="F28" s="640" t="str">
        <f t="shared" si="6"/>
        <v>0</v>
      </c>
      <c r="G28" s="647"/>
      <c r="H28" s="647"/>
      <c r="I28" s="639">
        <f t="shared" si="7"/>
        <v>0</v>
      </c>
      <c r="J28" s="640" t="str">
        <f t="shared" si="8"/>
        <v>0</v>
      </c>
    </row>
    <row r="29" spans="1:10" ht="30" customHeight="1">
      <c r="A29" s="1511"/>
      <c r="B29" s="1511"/>
      <c r="C29" s="647"/>
      <c r="D29" s="647"/>
      <c r="E29" s="639">
        <f t="shared" si="5"/>
        <v>0</v>
      </c>
      <c r="F29" s="640" t="str">
        <f t="shared" si="6"/>
        <v>0</v>
      </c>
      <c r="G29" s="647"/>
      <c r="H29" s="647"/>
      <c r="I29" s="639">
        <f t="shared" si="7"/>
        <v>0</v>
      </c>
      <c r="J29" s="640" t="str">
        <f t="shared" si="8"/>
        <v>0</v>
      </c>
    </row>
    <row r="30" spans="1:10" ht="30" customHeight="1">
      <c r="A30" s="1515" t="s">
        <v>903</v>
      </c>
      <c r="B30" s="1515"/>
      <c r="C30" s="1017">
        <f>SUM(C21:C27)</f>
        <v>0</v>
      </c>
      <c r="D30" s="1017">
        <f>SUM(D21:D27)</f>
        <v>0</v>
      </c>
      <c r="E30" s="1018">
        <f>C30+D30</f>
        <v>0</v>
      </c>
      <c r="F30" s="1019" t="str">
        <f t="shared" si="6"/>
        <v>0</v>
      </c>
      <c r="G30" s="1017">
        <f>SUM(G21:G27)</f>
        <v>0</v>
      </c>
      <c r="H30" s="1017">
        <f>SUM(H21:H27)</f>
        <v>0</v>
      </c>
      <c r="I30" s="1018">
        <f>G30+H30</f>
        <v>0</v>
      </c>
      <c r="J30" s="1019" t="str">
        <f t="shared" si="8"/>
        <v>0</v>
      </c>
    </row>
    <row r="31" spans="1:10" ht="30" customHeight="1">
      <c r="A31" s="1523" t="s">
        <v>904</v>
      </c>
      <c r="B31" s="1511"/>
      <c r="C31" s="647"/>
      <c r="D31" s="647"/>
      <c r="E31" s="639">
        <f t="shared" ref="E31:E34" si="9">C31+D31</f>
        <v>0</v>
      </c>
      <c r="F31" s="640" t="str">
        <f t="shared" si="6"/>
        <v>0</v>
      </c>
      <c r="G31" s="647"/>
      <c r="H31" s="647"/>
      <c r="I31" s="639">
        <f t="shared" ref="I31:I34" si="10">G31+H31</f>
        <v>0</v>
      </c>
      <c r="J31" s="640" t="str">
        <f t="shared" si="8"/>
        <v>0</v>
      </c>
    </row>
    <row r="32" spans="1:10" ht="30" customHeight="1">
      <c r="A32" s="1523" t="s">
        <v>905</v>
      </c>
      <c r="B32" s="1511"/>
      <c r="C32" s="647"/>
      <c r="D32" s="647"/>
      <c r="E32" s="639">
        <f t="shared" si="9"/>
        <v>0</v>
      </c>
      <c r="F32" s="640" t="str">
        <f t="shared" si="6"/>
        <v>0</v>
      </c>
      <c r="G32" s="647"/>
      <c r="H32" s="647"/>
      <c r="I32" s="639">
        <f t="shared" si="10"/>
        <v>0</v>
      </c>
      <c r="J32" s="640" t="str">
        <f t="shared" si="8"/>
        <v>0</v>
      </c>
    </row>
    <row r="33" spans="1:10" ht="30" customHeight="1">
      <c r="A33" s="1523" t="s">
        <v>906</v>
      </c>
      <c r="B33" s="1511"/>
      <c r="C33" s="647"/>
      <c r="D33" s="647"/>
      <c r="E33" s="639">
        <f t="shared" si="9"/>
        <v>0</v>
      </c>
      <c r="F33" s="640" t="str">
        <f t="shared" si="6"/>
        <v>0</v>
      </c>
      <c r="G33" s="647"/>
      <c r="H33" s="647"/>
      <c r="I33" s="639">
        <f t="shared" si="10"/>
        <v>0</v>
      </c>
      <c r="J33" s="640" t="str">
        <f t="shared" si="8"/>
        <v>0</v>
      </c>
    </row>
    <row r="34" spans="1:10" ht="30" customHeight="1">
      <c r="A34" s="1511"/>
      <c r="B34" s="1511"/>
      <c r="C34" s="647"/>
      <c r="D34" s="647"/>
      <c r="E34" s="639">
        <f t="shared" si="9"/>
        <v>0</v>
      </c>
      <c r="F34" s="640" t="str">
        <f t="shared" si="6"/>
        <v>0</v>
      </c>
      <c r="G34" s="647"/>
      <c r="H34" s="647"/>
      <c r="I34" s="639">
        <f t="shared" si="10"/>
        <v>0</v>
      </c>
      <c r="J34" s="640" t="str">
        <f t="shared" si="8"/>
        <v>0</v>
      </c>
    </row>
    <row r="35" spans="1:10" ht="30" customHeight="1">
      <c r="A35" s="1526" t="s">
        <v>907</v>
      </c>
      <c r="B35" s="1526"/>
      <c r="C35" s="1017">
        <f>SUM(C31:C34)</f>
        <v>0</v>
      </c>
      <c r="D35" s="1017">
        <f>SUM(D31:D34)</f>
        <v>0</v>
      </c>
      <c r="E35" s="1018">
        <f>C35+D35</f>
        <v>0</v>
      </c>
      <c r="F35" s="1019" t="str">
        <f t="shared" si="6"/>
        <v>0</v>
      </c>
      <c r="G35" s="1017">
        <f>SUM(G31:G34)</f>
        <v>0</v>
      </c>
      <c r="H35" s="1017">
        <f>SUM(H31:H34)</f>
        <v>0</v>
      </c>
      <c r="I35" s="1018">
        <f>G35+H35</f>
        <v>0</v>
      </c>
      <c r="J35" s="1019" t="str">
        <f t="shared" si="8"/>
        <v>0</v>
      </c>
    </row>
    <row r="36" spans="1:10" ht="30" customHeight="1">
      <c r="A36" s="1515" t="s">
        <v>908</v>
      </c>
      <c r="B36" s="1515"/>
      <c r="C36" s="1017">
        <f>SUM(C30+C35)</f>
        <v>0</v>
      </c>
      <c r="D36" s="1017">
        <f>SUM(D30+D35)</f>
        <v>0</v>
      </c>
      <c r="E36" s="1018">
        <f>C36+D36</f>
        <v>0</v>
      </c>
      <c r="F36" s="1019" t="str">
        <f t="shared" si="6"/>
        <v>0</v>
      </c>
      <c r="G36" s="1017">
        <f>SUM(G30+G35)</f>
        <v>0</v>
      </c>
      <c r="H36" s="1017">
        <f>SUM(H30+H35)</f>
        <v>0</v>
      </c>
      <c r="I36" s="1018">
        <f>G36+H36</f>
        <v>0</v>
      </c>
      <c r="J36" s="1019" t="str">
        <f t="shared" si="8"/>
        <v>0</v>
      </c>
    </row>
    <row r="37" spans="1:10" ht="30" customHeight="1">
      <c r="A37" s="1521" t="s">
        <v>909</v>
      </c>
      <c r="B37" s="642" t="s">
        <v>893</v>
      </c>
      <c r="C37" s="643" t="str">
        <f>IFERROR(C$36/実績表1!$D17,"")</f>
        <v/>
      </c>
      <c r="D37" s="643" t="str">
        <f>IFERROR(D$36/実績表1!$D17,"")</f>
        <v/>
      </c>
      <c r="E37" s="643" t="str">
        <f>IFERROR(E$36/実績表1!$D17,"")</f>
        <v/>
      </c>
      <c r="F37" s="644" t="s">
        <v>894</v>
      </c>
      <c r="G37" s="643" t="str">
        <f>IFERROR(G$36/実績表1!$G17,"")</f>
        <v/>
      </c>
      <c r="H37" s="643" t="str">
        <f>IFERROR(H$36/実績表1!$G17,"")</f>
        <v/>
      </c>
      <c r="I37" s="643" t="str">
        <f>IFERROR(I$36/実績表1!$G17,"")</f>
        <v/>
      </c>
      <c r="J37" s="644" t="s">
        <v>894</v>
      </c>
    </row>
    <row r="38" spans="1:10" ht="30" customHeight="1">
      <c r="A38" s="1521"/>
      <c r="B38" s="645" t="s">
        <v>895</v>
      </c>
      <c r="C38" s="643" t="str">
        <f>IFERROR(C$36/実績表1!$D18,"")</f>
        <v/>
      </c>
      <c r="D38" s="643" t="str">
        <f>IFERROR(D$36/実績表1!$D18,"")</f>
        <v/>
      </c>
      <c r="E38" s="643" t="str">
        <f>IFERROR(E$36/実績表1!$D18,"")</f>
        <v/>
      </c>
      <c r="F38" s="644" t="s">
        <v>894</v>
      </c>
      <c r="G38" s="643" t="str">
        <f>IFERROR(G$36/実績表1!$G18,"")</f>
        <v/>
      </c>
      <c r="H38" s="643" t="str">
        <f>IFERROR(H$36/実績表1!$G18,"")</f>
        <v/>
      </c>
      <c r="I38" s="643" t="str">
        <f>IFERROR(I$36/実績表1!$G18,"")</f>
        <v/>
      </c>
      <c r="J38" s="644" t="s">
        <v>894</v>
      </c>
    </row>
    <row r="39" spans="1:10" ht="18" customHeight="1">
      <c r="A39" s="1522" t="s">
        <v>1183</v>
      </c>
      <c r="B39" s="1522"/>
      <c r="C39" s="1522"/>
      <c r="D39" s="1522"/>
      <c r="E39" s="1522"/>
      <c r="F39" s="1522"/>
      <c r="G39" s="1522"/>
      <c r="H39" s="1522"/>
      <c r="I39" s="1522"/>
      <c r="J39" s="1522"/>
    </row>
  </sheetData>
  <protectedRanges>
    <protectedRange sqref="C20 A21:D29 G21:H29 A31:D34 G31:H34" name="範囲2"/>
    <protectedRange sqref="C5 A6:D11 G6:H11" name="範囲1"/>
  </protectedRanges>
  <mergeCells count="41">
    <mergeCell ref="A34:B34"/>
    <mergeCell ref="A35:B35"/>
    <mergeCell ref="A36:B36"/>
    <mergeCell ref="A37:A38"/>
    <mergeCell ref="A39:J39"/>
    <mergeCell ref="A33:B33"/>
    <mergeCell ref="A22:B22"/>
    <mergeCell ref="A23:B23"/>
    <mergeCell ref="A24:B24"/>
    <mergeCell ref="A25:B25"/>
    <mergeCell ref="A26:B26"/>
    <mergeCell ref="A27:B27"/>
    <mergeCell ref="A28:B28"/>
    <mergeCell ref="A29:B29"/>
    <mergeCell ref="A30:B30"/>
    <mergeCell ref="A31:B31"/>
    <mergeCell ref="A32:B32"/>
    <mergeCell ref="A21:B21"/>
    <mergeCell ref="A11:B11"/>
    <mergeCell ref="A12:B12"/>
    <mergeCell ref="A13:A14"/>
    <mergeCell ref="A15:J15"/>
    <mergeCell ref="A16:J16"/>
    <mergeCell ref="A17:J17"/>
    <mergeCell ref="A18:B18"/>
    <mergeCell ref="C18:F18"/>
    <mergeCell ref="G18:J18"/>
    <mergeCell ref="A19:B19"/>
    <mergeCell ref="A20:B20"/>
    <mergeCell ref="A10:B10"/>
    <mergeCell ref="A1:J1"/>
    <mergeCell ref="A2:J2"/>
    <mergeCell ref="A3:B3"/>
    <mergeCell ref="C3:F3"/>
    <mergeCell ref="G3:J3"/>
    <mergeCell ref="A4:B4"/>
    <mergeCell ref="A5:B5"/>
    <mergeCell ref="A6:B6"/>
    <mergeCell ref="A7:B7"/>
    <mergeCell ref="A8:B8"/>
    <mergeCell ref="A9:B9"/>
  </mergeCells>
  <phoneticPr fontId="2"/>
  <pageMargins left="0.7" right="0.7" top="0.75" bottom="0.75" header="0.3" footer="0.3"/>
  <pageSetup paperSize="9" scale="79" fitToHeight="0" orientation="portrait" r:id="rId1"/>
  <rowBreaks count="1" manualBreakCount="1">
    <brk id="1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E7E6B-07D9-4750-AFE0-215988F91557}">
  <sheetPr>
    <tabColor rgb="FFFFFF00"/>
    <pageSetUpPr fitToPage="1"/>
  </sheetPr>
  <dimension ref="A1:K27"/>
  <sheetViews>
    <sheetView showGridLines="0" showZeros="0" zoomScaleNormal="100" zoomScaleSheetLayoutView="115" zoomScalePageLayoutView="115" workbookViewId="0"/>
  </sheetViews>
  <sheetFormatPr defaultRowHeight="18"/>
  <cols>
    <col min="1" max="1" width="4.33203125" customWidth="1"/>
    <col min="2" max="2" width="16.5" customWidth="1"/>
    <col min="3" max="3" width="4.33203125" customWidth="1"/>
    <col min="4" max="4" width="11.83203125" customWidth="1"/>
    <col min="5" max="5" width="16" customWidth="1"/>
    <col min="6" max="6" width="3.83203125" style="680" customWidth="1"/>
    <col min="7" max="7" width="16" customWidth="1"/>
    <col min="8" max="8" width="3.83203125" style="680" customWidth="1"/>
  </cols>
  <sheetData>
    <row r="1" spans="1:11" ht="19.149999999999999" customHeight="1">
      <c r="A1" s="649" t="s">
        <v>1185</v>
      </c>
      <c r="B1" s="649"/>
      <c r="C1" s="649"/>
      <c r="D1" s="649"/>
      <c r="E1" s="649"/>
      <c r="F1" s="650"/>
      <c r="G1" s="649"/>
      <c r="H1" s="650"/>
    </row>
    <row r="2" spans="1:11" ht="16.149999999999999" customHeight="1">
      <c r="A2" s="1529" t="s">
        <v>910</v>
      </c>
      <c r="B2" s="1529"/>
      <c r="C2" s="1529"/>
      <c r="D2" s="1529"/>
      <c r="E2" s="1529"/>
      <c r="F2" s="1529"/>
      <c r="G2" s="1529"/>
      <c r="H2" s="1529"/>
    </row>
    <row r="3" spans="1:11" s="652" customFormat="1" ht="16.899999999999999" customHeight="1">
      <c r="A3" s="1530" t="s">
        <v>1182</v>
      </c>
      <c r="B3" s="1530"/>
      <c r="C3" s="1530"/>
      <c r="D3" s="1530"/>
      <c r="E3" s="1530"/>
      <c r="F3" s="1530"/>
      <c r="G3" s="1530"/>
      <c r="H3" s="1530"/>
      <c r="I3" s="651"/>
      <c r="J3" s="651"/>
      <c r="K3" s="651"/>
    </row>
    <row r="4" spans="1:11" ht="20.5" customHeight="1">
      <c r="A4" s="1531" t="s">
        <v>27</v>
      </c>
      <c r="B4" s="1532"/>
      <c r="C4" s="1532"/>
      <c r="D4" s="1533"/>
      <c r="E4" s="1534" t="str">
        <f>実績表2!D31</f>
        <v>令和6年4月～令和7年3月</v>
      </c>
      <c r="F4" s="1535"/>
      <c r="G4" s="1534" t="str">
        <f>実績表2!K31</f>
        <v>令和7年4月～令和8年3月</v>
      </c>
      <c r="H4" s="1535"/>
    </row>
    <row r="5" spans="1:11" ht="20.5" customHeight="1">
      <c r="A5" s="1527" t="s">
        <v>911</v>
      </c>
      <c r="B5" s="1527"/>
      <c r="C5" s="1527"/>
      <c r="D5" s="1527"/>
      <c r="E5" s="1528" t="s">
        <v>912</v>
      </c>
      <c r="F5" s="1528"/>
      <c r="G5" s="1528" t="s">
        <v>912</v>
      </c>
      <c r="H5" s="1528"/>
      <c r="I5" s="653"/>
    </row>
    <row r="6" spans="1:11" ht="24" customHeight="1">
      <c r="A6" s="1528" t="s">
        <v>913</v>
      </c>
      <c r="B6" s="1525" t="s">
        <v>914</v>
      </c>
      <c r="C6" s="1525"/>
      <c r="D6" s="1525"/>
      <c r="E6" s="681"/>
      <c r="F6" s="654" t="s">
        <v>915</v>
      </c>
      <c r="G6" s="681"/>
      <c r="H6" s="654" t="s">
        <v>915</v>
      </c>
      <c r="I6" s="653"/>
    </row>
    <row r="7" spans="1:11" ht="24" customHeight="1">
      <c r="A7" s="1528"/>
      <c r="B7" s="1525" t="s">
        <v>916</v>
      </c>
      <c r="C7" s="1525"/>
      <c r="D7" s="1525"/>
      <c r="E7" s="681"/>
      <c r="F7" s="654" t="s">
        <v>915</v>
      </c>
      <c r="G7" s="681"/>
      <c r="H7" s="654" t="s">
        <v>915</v>
      </c>
      <c r="I7" s="653"/>
    </row>
    <row r="8" spans="1:11" ht="24" customHeight="1">
      <c r="A8" s="1528"/>
      <c r="B8" s="1536"/>
      <c r="C8" s="1537"/>
      <c r="D8" s="1538"/>
      <c r="E8" s="681"/>
      <c r="F8" s="654" t="s">
        <v>915</v>
      </c>
      <c r="G8" s="681"/>
      <c r="H8" s="654" t="s">
        <v>915</v>
      </c>
      <c r="I8" s="653"/>
    </row>
    <row r="9" spans="1:11" ht="24" customHeight="1">
      <c r="A9" s="1528"/>
      <c r="B9" s="1539" t="s">
        <v>917</v>
      </c>
      <c r="C9" s="1539"/>
      <c r="D9" s="1539"/>
      <c r="E9" s="655">
        <f>SUM(E6:E8)</f>
        <v>0</v>
      </c>
      <c r="F9" s="656" t="s">
        <v>915</v>
      </c>
      <c r="G9" s="655">
        <f>SUM(G6:G8)</f>
        <v>0</v>
      </c>
      <c r="H9" s="656" t="s">
        <v>915</v>
      </c>
      <c r="I9" s="653"/>
    </row>
    <row r="10" spans="1:11" ht="24" customHeight="1">
      <c r="A10" s="1528"/>
      <c r="B10" s="1540" t="s">
        <v>918</v>
      </c>
      <c r="C10" s="657"/>
      <c r="D10" s="658" t="s">
        <v>893</v>
      </c>
      <c r="E10" s="1541" t="str">
        <f>IFERROR($E$9/実績表1!$D$17,"")</f>
        <v/>
      </c>
      <c r="F10" s="1542"/>
      <c r="G10" s="1541" t="str">
        <f>IFERROR($G$9/実績表1!$G$17,"")</f>
        <v/>
      </c>
      <c r="H10" s="1542"/>
      <c r="I10" s="653"/>
    </row>
    <row r="11" spans="1:11" ht="24" customHeight="1">
      <c r="A11" s="1528"/>
      <c r="B11" s="1540"/>
      <c r="C11" s="657"/>
      <c r="D11" s="658" t="s">
        <v>895</v>
      </c>
      <c r="E11" s="1541" t="str">
        <f>IFERROR($E$9/実績表1!$D$18,"")</f>
        <v/>
      </c>
      <c r="F11" s="1542"/>
      <c r="G11" s="1541" t="str">
        <f>IFERROR($G$9/実績表1!$G$18,"")</f>
        <v/>
      </c>
      <c r="H11" s="1542"/>
      <c r="I11" s="659"/>
    </row>
    <row r="12" spans="1:11" ht="27" customHeight="1">
      <c r="A12" s="1543" t="s">
        <v>1184</v>
      </c>
      <c r="B12" s="1543"/>
      <c r="C12" s="1543"/>
      <c r="D12" s="1543"/>
      <c r="E12" s="1543"/>
      <c r="F12" s="1543"/>
      <c r="G12" s="1543"/>
      <c r="H12" s="1543"/>
      <c r="I12" s="660"/>
      <c r="K12" s="660"/>
    </row>
    <row r="13" spans="1:11" ht="20.5" customHeight="1">
      <c r="A13" s="1531" t="s">
        <v>27</v>
      </c>
      <c r="B13" s="1532"/>
      <c r="C13" s="1532"/>
      <c r="D13" s="1533"/>
      <c r="E13" s="1534" t="str">
        <f>E4</f>
        <v>令和6年4月～令和7年3月</v>
      </c>
      <c r="F13" s="1535"/>
      <c r="G13" s="1534" t="str">
        <f>G4</f>
        <v>令和7年4月～令和8年3月</v>
      </c>
      <c r="H13" s="1535"/>
    </row>
    <row r="14" spans="1:11" ht="20.5" customHeight="1">
      <c r="A14" s="1527" t="s">
        <v>911</v>
      </c>
      <c r="B14" s="1527"/>
      <c r="C14" s="1527"/>
      <c r="D14" s="1527"/>
      <c r="E14" s="1528" t="s">
        <v>912</v>
      </c>
      <c r="F14" s="1528"/>
      <c r="G14" s="1528" t="s">
        <v>912</v>
      </c>
      <c r="H14" s="1528"/>
      <c r="I14" s="653"/>
    </row>
    <row r="15" spans="1:11" ht="24" customHeight="1">
      <c r="A15" s="1528" t="s">
        <v>919</v>
      </c>
      <c r="B15" s="690" t="s">
        <v>931</v>
      </c>
      <c r="C15" s="662"/>
      <c r="D15" s="663"/>
      <c r="E15" s="687"/>
      <c r="F15" s="665" t="s">
        <v>920</v>
      </c>
      <c r="G15" s="687"/>
      <c r="H15" s="665" t="s">
        <v>920</v>
      </c>
      <c r="I15" s="653"/>
    </row>
    <row r="16" spans="1:11" ht="24" customHeight="1">
      <c r="A16" s="1528"/>
      <c r="B16" s="666" t="s">
        <v>921</v>
      </c>
      <c r="C16" s="667">
        <v>4</v>
      </c>
      <c r="D16" s="668" t="s">
        <v>922</v>
      </c>
      <c r="E16" s="688">
        <f>E15*C16/1000</f>
        <v>0</v>
      </c>
      <c r="F16" s="669" t="s">
        <v>168</v>
      </c>
      <c r="G16" s="689">
        <f>G15*C16/1000</f>
        <v>0</v>
      </c>
      <c r="H16" s="669" t="s">
        <v>168</v>
      </c>
      <c r="I16" s="653"/>
    </row>
    <row r="17" spans="1:10" ht="24" customHeight="1">
      <c r="A17" s="1528"/>
      <c r="B17" s="661" t="s">
        <v>923</v>
      </c>
      <c r="C17" s="662"/>
      <c r="D17" s="663"/>
      <c r="E17" s="687"/>
      <c r="F17" s="665" t="s">
        <v>920</v>
      </c>
      <c r="G17" s="687"/>
      <c r="H17" s="665" t="s">
        <v>920</v>
      </c>
      <c r="I17" s="653"/>
    </row>
    <row r="18" spans="1:10" ht="24" customHeight="1">
      <c r="A18" s="1528"/>
      <c r="B18" s="666" t="s">
        <v>921</v>
      </c>
      <c r="C18" s="667"/>
      <c r="D18" s="668" t="s">
        <v>922</v>
      </c>
      <c r="E18" s="688">
        <f>E17*C18/1000</f>
        <v>0</v>
      </c>
      <c r="F18" s="669" t="s">
        <v>168</v>
      </c>
      <c r="G18" s="689">
        <f>G17*C18/1000</f>
        <v>0</v>
      </c>
      <c r="H18" s="669" t="s">
        <v>168</v>
      </c>
      <c r="I18" s="653"/>
    </row>
    <row r="19" spans="1:10" ht="24" customHeight="1">
      <c r="A19" s="1528"/>
      <c r="B19" s="661" t="s">
        <v>924</v>
      </c>
      <c r="C19" s="662"/>
      <c r="D19" s="663"/>
      <c r="E19" s="687"/>
      <c r="F19" s="665" t="s">
        <v>920</v>
      </c>
      <c r="G19" s="687"/>
      <c r="H19" s="665" t="s">
        <v>920</v>
      </c>
      <c r="I19" s="670"/>
      <c r="J19" s="671"/>
    </row>
    <row r="20" spans="1:10" ht="24" customHeight="1">
      <c r="A20" s="1528"/>
      <c r="B20" s="666" t="s">
        <v>921</v>
      </c>
      <c r="C20" s="667"/>
      <c r="D20" s="668" t="s">
        <v>922</v>
      </c>
      <c r="E20" s="688">
        <f>E19*C20/1000</f>
        <v>0</v>
      </c>
      <c r="F20" s="669" t="s">
        <v>168</v>
      </c>
      <c r="G20" s="689">
        <f>G19*C20/1000</f>
        <v>0</v>
      </c>
      <c r="H20" s="669" t="s">
        <v>168</v>
      </c>
      <c r="I20" s="653"/>
    </row>
    <row r="21" spans="1:10" ht="24" customHeight="1">
      <c r="A21" s="1528"/>
      <c r="B21" s="1545"/>
      <c r="C21" s="1546"/>
      <c r="D21" s="1547"/>
      <c r="E21" s="664"/>
      <c r="F21" s="672" t="s">
        <v>920</v>
      </c>
      <c r="G21" s="664"/>
      <c r="H21" s="672" t="s">
        <v>920</v>
      </c>
      <c r="I21" s="653"/>
      <c r="J21" s="671"/>
    </row>
    <row r="22" spans="1:10" ht="24" customHeight="1">
      <c r="A22" s="1528"/>
      <c r="B22" s="1548"/>
      <c r="C22" s="1549"/>
      <c r="D22" s="1550"/>
      <c r="E22" s="673"/>
      <c r="F22" s="674" t="s">
        <v>168</v>
      </c>
      <c r="G22" s="673"/>
      <c r="H22" s="674" t="s">
        <v>168</v>
      </c>
      <c r="I22" s="653"/>
    </row>
    <row r="23" spans="1:10" ht="24" customHeight="1">
      <c r="A23" s="1528"/>
      <c r="B23" s="1551" t="s">
        <v>925</v>
      </c>
      <c r="C23" s="1551"/>
      <c r="D23" s="1551"/>
      <c r="E23" s="675">
        <f>E16+E18+E20+E22</f>
        <v>0</v>
      </c>
      <c r="F23" s="676" t="s">
        <v>168</v>
      </c>
      <c r="G23" s="675">
        <f>G16+G18+G20+G22</f>
        <v>0</v>
      </c>
      <c r="H23" s="676" t="s">
        <v>168</v>
      </c>
      <c r="I23" s="653"/>
    </row>
    <row r="24" spans="1:10" ht="24" customHeight="1">
      <c r="A24" s="1528"/>
      <c r="B24" s="1540" t="s">
        <v>926</v>
      </c>
      <c r="C24" s="677"/>
      <c r="D24" s="678" t="s">
        <v>893</v>
      </c>
      <c r="E24" s="1541" t="str">
        <f>IFERROR($E$23/実績表1!$D$17,"")</f>
        <v/>
      </c>
      <c r="F24" s="1542"/>
      <c r="G24" s="1541" t="str">
        <f>IFERROR($G$23/実績表1!$G$17,"")</f>
        <v/>
      </c>
      <c r="H24" s="1542"/>
      <c r="I24" s="653"/>
    </row>
    <row r="25" spans="1:10" ht="24" customHeight="1">
      <c r="A25" s="1528"/>
      <c r="B25" s="1552"/>
      <c r="C25" s="679"/>
      <c r="D25" s="678" t="s">
        <v>895</v>
      </c>
      <c r="E25" s="1541" t="str">
        <f>IFERROR($E$23/実績表1!$D$18,"")</f>
        <v/>
      </c>
      <c r="F25" s="1542"/>
      <c r="G25" s="1541" t="str">
        <f>IFERROR($G$23/実績表1!$G$18,"")</f>
        <v/>
      </c>
      <c r="H25" s="1542"/>
      <c r="I25" s="653"/>
    </row>
    <row r="26" spans="1:10" ht="16.5" customHeight="1">
      <c r="A26" s="1544" t="s">
        <v>1184</v>
      </c>
      <c r="B26" s="1544"/>
      <c r="C26" s="1544"/>
      <c r="D26" s="1544"/>
      <c r="E26" s="1544"/>
      <c r="F26" s="1544"/>
      <c r="G26" s="1544"/>
      <c r="H26" s="1544"/>
    </row>
    <row r="27" spans="1:10">
      <c r="A27" s="1020"/>
      <c r="B27" s="1020"/>
      <c r="C27" s="1020"/>
      <c r="D27" s="1020"/>
      <c r="E27" s="1020"/>
      <c r="F27" s="1021"/>
      <c r="G27" s="1020"/>
      <c r="H27" s="1021"/>
    </row>
  </sheetData>
  <protectedRanges>
    <protectedRange sqref="B15 B17 B19 C16 C18 C20 E15:E16 G15:G16 E17:E18 G17:G18 E19:E20 G19:G20 B21:D22 E21:E22 G21:G22" name="範囲2"/>
    <protectedRange sqref="B6:D8 E6:F9 G6:H9" name="範囲1"/>
  </protectedRanges>
  <mergeCells count="34">
    <mergeCell ref="G25:H25"/>
    <mergeCell ref="A26:H26"/>
    <mergeCell ref="A14:D14"/>
    <mergeCell ref="E14:F14"/>
    <mergeCell ref="G14:H14"/>
    <mergeCell ref="A15:A25"/>
    <mergeCell ref="B21:D22"/>
    <mergeCell ref="B23:D23"/>
    <mergeCell ref="B24:B25"/>
    <mergeCell ref="E24:F24"/>
    <mergeCell ref="G24:H24"/>
    <mergeCell ref="E25:F25"/>
    <mergeCell ref="A13:D13"/>
    <mergeCell ref="E13:F13"/>
    <mergeCell ref="G13:H13"/>
    <mergeCell ref="A6:A11"/>
    <mergeCell ref="B6:D6"/>
    <mergeCell ref="B7:D7"/>
    <mergeCell ref="B8:D8"/>
    <mergeCell ref="B9:D9"/>
    <mergeCell ref="B10:B11"/>
    <mergeCell ref="E10:F10"/>
    <mergeCell ref="G10:H10"/>
    <mergeCell ref="E11:F11"/>
    <mergeCell ref="G11:H11"/>
    <mergeCell ref="A12:H12"/>
    <mergeCell ref="A5:D5"/>
    <mergeCell ref="E5:F5"/>
    <mergeCell ref="G5:H5"/>
    <mergeCell ref="A2:H2"/>
    <mergeCell ref="A3:H3"/>
    <mergeCell ref="A4:D4"/>
    <mergeCell ref="E4:F4"/>
    <mergeCell ref="G4:H4"/>
  </mergeCells>
  <phoneticPr fontId="2"/>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9B33-0AB1-48F5-8330-F62BBE52E9CE}">
  <sheetPr>
    <tabColor rgb="FFC00000"/>
    <pageSetUpPr fitToPage="1"/>
  </sheetPr>
  <dimension ref="A1:AV100"/>
  <sheetViews>
    <sheetView zoomScale="42" zoomScaleNormal="42" zoomScaleSheetLayoutView="85" workbookViewId="0"/>
  </sheetViews>
  <sheetFormatPr defaultRowHeight="18"/>
  <cols>
    <col min="1" max="1" width="1.58203125" customWidth="1"/>
    <col min="2" max="2" width="9.08203125" bestFit="1" customWidth="1"/>
    <col min="3" max="3" width="10.25" bestFit="1" customWidth="1"/>
    <col min="4" max="4" width="10.33203125" bestFit="1" customWidth="1"/>
    <col min="5" max="18" width="8.58203125" customWidth="1"/>
    <col min="19" max="32" width="10.25" customWidth="1"/>
    <col min="33" max="33" width="8.58203125" customWidth="1"/>
    <col min="34" max="34" width="193.58203125" customWidth="1"/>
    <col min="35" max="36" width="20.83203125" bestFit="1" customWidth="1"/>
    <col min="37" max="37" width="11" bestFit="1" customWidth="1"/>
  </cols>
  <sheetData>
    <row r="1" spans="1:48" ht="54.65" customHeight="1">
      <c r="A1" s="48"/>
      <c r="B1" s="48"/>
      <c r="C1" s="48"/>
      <c r="D1" s="48"/>
      <c r="E1" s="48"/>
      <c r="F1" s="48"/>
      <c r="G1" s="48"/>
      <c r="H1" s="48"/>
      <c r="I1" s="48"/>
      <c r="J1" s="48"/>
      <c r="K1" s="48"/>
      <c r="L1" s="48"/>
      <c r="M1" s="48"/>
      <c r="N1" s="48"/>
      <c r="O1" s="48"/>
      <c r="P1" s="48"/>
      <c r="Q1" s="48"/>
      <c r="R1" s="48"/>
      <c r="S1" s="48"/>
      <c r="T1" s="48"/>
      <c r="U1" s="48"/>
      <c r="V1" s="48"/>
      <c r="X1" s="592"/>
      <c r="Y1" s="592"/>
      <c r="Z1" s="592"/>
      <c r="AA1" s="592"/>
      <c r="AB1" s="592"/>
      <c r="AC1" s="592"/>
      <c r="AD1" s="592"/>
      <c r="AE1" s="48"/>
      <c r="AF1" s="48"/>
      <c r="AG1" s="48"/>
      <c r="AH1" s="48"/>
      <c r="AI1" s="1376"/>
      <c r="AJ1" s="1376"/>
      <c r="AK1" s="1376"/>
      <c r="AL1" s="1376"/>
      <c r="AM1" s="1376"/>
      <c r="AN1" s="1376"/>
      <c r="AO1" s="1376"/>
      <c r="AP1" s="1376"/>
      <c r="AQ1" s="1376"/>
      <c r="AR1" s="1376"/>
      <c r="AS1" s="1376"/>
      <c r="AT1" s="1376"/>
      <c r="AU1" s="1376"/>
    </row>
    <row r="2" spans="1:48" ht="15" customHeight="1">
      <c r="A2" s="48"/>
      <c r="B2" s="1571">
        <f>実績表1!D3</f>
        <v>0</v>
      </c>
      <c r="C2" s="1572"/>
      <c r="D2" s="1572"/>
      <c r="E2" s="1572"/>
      <c r="F2" s="1572"/>
      <c r="G2" s="1572"/>
      <c r="H2" s="1572"/>
      <c r="I2" s="1572"/>
      <c r="J2" s="1572"/>
      <c r="K2" s="1572"/>
      <c r="L2" s="1572"/>
      <c r="M2" s="1572"/>
      <c r="N2" s="1572"/>
      <c r="O2" s="1572"/>
      <c r="P2" s="1572"/>
      <c r="Q2" s="1572"/>
      <c r="R2" s="48"/>
      <c r="S2" s="48"/>
      <c r="T2" s="48"/>
      <c r="U2" s="48"/>
      <c r="V2" s="1567" t="s">
        <v>829</v>
      </c>
      <c r="W2" s="1567"/>
      <c r="X2" s="1567"/>
      <c r="Y2" s="1567"/>
      <c r="Z2" s="1567"/>
      <c r="AA2" s="1567"/>
      <c r="AB2" s="1567"/>
      <c r="AC2" s="48"/>
      <c r="AD2" s="592"/>
      <c r="AE2" s="48"/>
      <c r="AF2" s="48"/>
      <c r="AG2" s="48"/>
      <c r="AH2" s="48"/>
      <c r="AI2" s="1376"/>
      <c r="AJ2" s="1376"/>
      <c r="AK2" s="1376"/>
      <c r="AL2" s="1376"/>
      <c r="AM2" s="1376"/>
      <c r="AN2" s="1376"/>
      <c r="AO2" s="1376"/>
      <c r="AP2" s="1376"/>
      <c r="AQ2" s="1376"/>
      <c r="AR2" s="1376"/>
      <c r="AS2" s="1376"/>
      <c r="AT2" s="1376"/>
      <c r="AU2" s="1376"/>
    </row>
    <row r="3" spans="1:48" ht="27" customHeight="1">
      <c r="A3" s="48"/>
      <c r="B3" s="1572"/>
      <c r="C3" s="1572"/>
      <c r="D3" s="1572"/>
      <c r="E3" s="1572"/>
      <c r="F3" s="1572"/>
      <c r="G3" s="1572"/>
      <c r="H3" s="1572"/>
      <c r="I3" s="1572"/>
      <c r="J3" s="1572"/>
      <c r="K3" s="1572"/>
      <c r="L3" s="1572"/>
      <c r="M3" s="1572"/>
      <c r="N3" s="1572"/>
      <c r="O3" s="1572"/>
      <c r="P3" s="1572"/>
      <c r="Q3" s="1572"/>
      <c r="R3" s="48"/>
      <c r="S3" s="48"/>
      <c r="T3" s="48"/>
      <c r="U3" s="48"/>
      <c r="V3" s="1567"/>
      <c r="W3" s="1567"/>
      <c r="X3" s="1567"/>
      <c r="Y3" s="1567"/>
      <c r="Z3" s="1567"/>
      <c r="AA3" s="1567"/>
      <c r="AB3" s="1567"/>
      <c r="AC3" s="48"/>
      <c r="AD3" s="592"/>
      <c r="AE3" s="48"/>
      <c r="AF3" s="48"/>
      <c r="AG3" s="48"/>
      <c r="AH3" s="48"/>
      <c r="AI3" s="1376"/>
      <c r="AJ3" s="1376"/>
      <c r="AK3" s="1376"/>
      <c r="AL3" s="1376"/>
      <c r="AM3" s="1376"/>
      <c r="AN3" s="1376"/>
      <c r="AO3" s="1376"/>
      <c r="AP3" s="1376"/>
      <c r="AQ3" s="1376"/>
      <c r="AR3" s="1376"/>
      <c r="AS3" s="1376"/>
      <c r="AT3" s="1376"/>
      <c r="AU3" s="1376"/>
    </row>
    <row r="4" spans="1:48" ht="10" customHeight="1" thickBot="1">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592"/>
      <c r="AE4" s="48"/>
      <c r="AF4" s="48"/>
      <c r="AG4" s="48"/>
      <c r="AH4" s="48"/>
      <c r="AI4" s="1377" t="s">
        <v>5</v>
      </c>
      <c r="AJ4" s="1377"/>
      <c r="AK4" s="1376"/>
      <c r="AL4" s="1376"/>
      <c r="AM4" s="1376"/>
      <c r="AN4" s="1376"/>
      <c r="AO4" s="1376"/>
      <c r="AP4" s="1376"/>
      <c r="AQ4" s="1376"/>
      <c r="AR4" s="1376"/>
      <c r="AS4" s="1376"/>
      <c r="AT4" s="1376"/>
      <c r="AU4" s="1376"/>
    </row>
    <row r="5" spans="1:48" ht="25" customHeight="1">
      <c r="A5" s="48"/>
      <c r="B5" s="1573" t="str">
        <f>実績表1!$D$16&amp;" "&amp;実績表1!$E$16&amp;" "&amp;実績表1!$F$16</f>
        <v>令和  年度</v>
      </c>
      <c r="C5" s="1574"/>
      <c r="D5" s="1575" t="s">
        <v>771</v>
      </c>
      <c r="E5" s="1576"/>
      <c r="F5" s="1573" t="str">
        <f>実績表1!$G$16&amp;" "&amp;実績表1!$H$16&amp;" "&amp;実績表1!$I$16</f>
        <v>令和  年度</v>
      </c>
      <c r="G5" s="1574"/>
      <c r="H5" s="1575" t="s">
        <v>771</v>
      </c>
      <c r="I5" s="1576"/>
      <c r="J5" s="1569" t="s">
        <v>777</v>
      </c>
      <c r="K5" s="1569"/>
      <c r="L5" s="1569"/>
      <c r="M5" s="1569"/>
      <c r="N5" s="1569" t="s">
        <v>772</v>
      </c>
      <c r="O5" s="1569"/>
      <c r="P5" s="1569"/>
      <c r="Q5" s="1570"/>
      <c r="R5" s="48"/>
      <c r="S5" s="48"/>
      <c r="T5" s="48"/>
      <c r="U5" s="562"/>
      <c r="V5" s="562"/>
      <c r="W5" s="562"/>
      <c r="X5" s="562"/>
      <c r="Y5" s="562"/>
      <c r="Z5" s="562"/>
      <c r="AA5" s="562"/>
      <c r="AB5" s="562"/>
      <c r="AC5" s="562"/>
      <c r="AD5" s="562"/>
      <c r="AE5" s="562"/>
      <c r="AF5" s="562"/>
      <c r="AG5" s="48"/>
      <c r="AH5" s="48"/>
      <c r="AI5" s="1377" t="str">
        <f>$B$5</f>
        <v>令和  年度</v>
      </c>
      <c r="AJ5" s="1377" t="str">
        <f>$F$5</f>
        <v>令和  年度</v>
      </c>
      <c r="AK5" s="1376"/>
      <c r="AL5" s="1376"/>
      <c r="AM5" s="1376"/>
      <c r="AN5" s="1376"/>
      <c r="AO5" s="1376"/>
      <c r="AP5" s="1376"/>
      <c r="AQ5" s="1376"/>
      <c r="AR5" s="1376"/>
      <c r="AS5" s="1376"/>
      <c r="AT5" s="1376"/>
      <c r="AU5" s="1376"/>
    </row>
    <row r="6" spans="1:48" ht="25" customHeight="1" thickBot="1">
      <c r="A6" s="48"/>
      <c r="B6" s="1562">
        <f>IFERROR(IF(実績表2!Q64="","",実績表2!Q64),"")</f>
        <v>0</v>
      </c>
      <c r="C6" s="1563"/>
      <c r="D6" s="1564" t="s">
        <v>802</v>
      </c>
      <c r="E6" s="1565"/>
      <c r="F6" s="1566">
        <f>IFERROR(IF(実績表2!Q86="","",実績表2!Q86),"")</f>
        <v>0</v>
      </c>
      <c r="G6" s="1563"/>
      <c r="H6" s="1564" t="s">
        <v>802</v>
      </c>
      <c r="I6" s="1565"/>
      <c r="J6" s="1879" t="str">
        <f>IFERROR(IF(F6-B6=0, "", F6-B6), "")</f>
        <v/>
      </c>
      <c r="K6" s="1880"/>
      <c r="L6" s="1564" t="s">
        <v>802</v>
      </c>
      <c r="M6" s="1565"/>
      <c r="N6" s="1554" t="str">
        <f>IFERROR(IF((F6/B6)-1=0, "", (F6/B6)-1), "")</f>
        <v/>
      </c>
      <c r="O6" s="1554"/>
      <c r="P6" s="1554"/>
      <c r="Q6" s="1555"/>
      <c r="R6" s="48"/>
      <c r="S6" s="564"/>
      <c r="T6" s="563"/>
      <c r="U6" s="563"/>
      <c r="V6" s="563"/>
      <c r="W6" s="563"/>
      <c r="X6" s="563"/>
      <c r="Y6" s="563"/>
      <c r="Z6" s="563"/>
      <c r="AA6" s="563"/>
      <c r="AB6" s="563"/>
      <c r="AC6" s="563"/>
      <c r="AD6" s="563"/>
      <c r="AE6" s="563"/>
      <c r="AF6" s="48"/>
      <c r="AG6" s="48"/>
      <c r="AH6" s="524"/>
      <c r="AI6" s="1378" t="str">
        <f>$Q$14</f>
        <v/>
      </c>
      <c r="AJ6" s="1378" t="str">
        <f>$Q$26</f>
        <v/>
      </c>
      <c r="AK6" s="1377"/>
      <c r="AL6" s="1376"/>
      <c r="AM6" s="1376"/>
      <c r="AN6" s="1377"/>
      <c r="AO6" s="1376"/>
      <c r="AP6" s="1376"/>
      <c r="AQ6" s="1377"/>
      <c r="AR6" s="1376"/>
      <c r="AS6" s="1376"/>
      <c r="AT6" s="1379"/>
      <c r="AU6" s="1379"/>
      <c r="AV6" s="523"/>
    </row>
    <row r="7" spans="1:48" ht="10.5" customHeight="1">
      <c r="A7" s="48"/>
      <c r="B7" s="48"/>
      <c r="C7" s="48"/>
      <c r="D7" s="48"/>
      <c r="E7" s="48"/>
      <c r="F7" s="48"/>
      <c r="G7" s="48"/>
      <c r="H7" s="48"/>
      <c r="I7" s="48"/>
      <c r="J7" s="48"/>
      <c r="K7" s="48"/>
      <c r="L7" s="48"/>
      <c r="M7" s="48"/>
      <c r="N7" s="48"/>
      <c r="O7" s="48"/>
      <c r="P7" s="48"/>
      <c r="Q7" s="48"/>
      <c r="R7" s="521"/>
      <c r="S7" s="521"/>
      <c r="T7" s="521"/>
      <c r="U7" s="563"/>
      <c r="V7" s="563"/>
      <c r="W7" s="563"/>
      <c r="X7" s="563"/>
      <c r="Y7" s="563"/>
      <c r="Z7" s="563"/>
      <c r="AA7" s="563"/>
      <c r="AB7" s="563"/>
      <c r="AC7" s="563"/>
      <c r="AD7" s="563"/>
      <c r="AE7" s="563"/>
      <c r="AF7" s="521"/>
      <c r="AG7" s="48"/>
      <c r="AH7" s="524"/>
      <c r="AI7" s="1376"/>
      <c r="AJ7" s="1376"/>
      <c r="AK7" s="1377"/>
      <c r="AL7" s="1376"/>
      <c r="AM7" s="1376"/>
      <c r="AN7" s="1377"/>
      <c r="AO7" s="1376"/>
      <c r="AP7" s="1376"/>
      <c r="AQ7" s="1377"/>
      <c r="AR7" s="1376"/>
      <c r="AS7" s="1376"/>
      <c r="AT7" s="1379"/>
      <c r="AU7" s="1379"/>
      <c r="AV7" s="523"/>
    </row>
    <row r="8" spans="1:48" s="521" customFormat="1" ht="18.75" customHeight="1">
      <c r="B8" s="532"/>
      <c r="C8" s="532"/>
      <c r="D8" s="532"/>
      <c r="E8" s="532"/>
      <c r="F8" s="532"/>
      <c r="G8" s="532"/>
      <c r="H8" s="532"/>
      <c r="I8" s="532"/>
      <c r="J8" s="532"/>
      <c r="K8" s="532"/>
      <c r="L8" s="532"/>
      <c r="M8" s="532"/>
      <c r="N8" s="532"/>
      <c r="O8" s="532"/>
      <c r="P8" s="532"/>
      <c r="Q8" s="532"/>
      <c r="AH8" s="524"/>
      <c r="AI8" s="1377" t="s">
        <v>828</v>
      </c>
      <c r="AJ8" s="1377"/>
      <c r="AK8" s="1377"/>
      <c r="AL8" s="1380"/>
      <c r="AM8" s="1380"/>
      <c r="AN8" s="1377"/>
      <c r="AO8" s="1380"/>
      <c r="AP8" s="1380"/>
      <c r="AQ8" s="1377"/>
      <c r="AR8" s="1380"/>
      <c r="AS8" s="1380"/>
      <c r="AT8" s="1379"/>
      <c r="AU8" s="1379"/>
      <c r="AV8" s="523"/>
    </row>
    <row r="9" spans="1:48" s="521" customFormat="1" ht="18.75" customHeight="1">
      <c r="B9" s="533"/>
      <c r="C9" s="533"/>
      <c r="D9" s="533"/>
      <c r="E9" s="533"/>
      <c r="F9" s="533"/>
      <c r="G9" s="533"/>
      <c r="H9" s="533"/>
      <c r="I9" s="533"/>
      <c r="J9" s="533"/>
      <c r="K9" s="533"/>
      <c r="L9" s="533"/>
      <c r="M9" s="533"/>
      <c r="N9" s="533"/>
      <c r="O9" s="533"/>
      <c r="P9" s="533"/>
      <c r="Q9" s="533"/>
      <c r="R9" s="522"/>
      <c r="S9" s="522"/>
      <c r="T9" s="522"/>
      <c r="U9" s="522"/>
      <c r="V9" s="522"/>
      <c r="W9" s="522"/>
      <c r="X9" s="522"/>
      <c r="Y9" s="522"/>
      <c r="Z9" s="522"/>
      <c r="AA9" s="522"/>
      <c r="AB9" s="522"/>
      <c r="AC9" s="522"/>
      <c r="AD9" s="522"/>
      <c r="AE9" s="522"/>
      <c r="AF9" s="522"/>
      <c r="AH9" s="524"/>
      <c r="AI9" s="1377" t="str">
        <f>$B$5</f>
        <v>令和  年度</v>
      </c>
      <c r="AJ9" s="1377" t="str">
        <f>$F$5</f>
        <v>令和  年度</v>
      </c>
      <c r="AK9" s="1379"/>
      <c r="AL9" s="1379"/>
      <c r="AM9" s="1379"/>
      <c r="AN9" s="1379"/>
      <c r="AO9" s="1379"/>
      <c r="AP9" s="1379"/>
      <c r="AQ9" s="1379"/>
      <c r="AR9" s="1379"/>
      <c r="AS9" s="1379"/>
      <c r="AT9" s="1379"/>
      <c r="AU9" s="1379"/>
      <c r="AV9" s="523"/>
    </row>
    <row r="10" spans="1:48" s="523" customFormat="1" ht="18.75" customHeight="1">
      <c r="A10" s="522"/>
      <c r="B10" s="527" t="s">
        <v>776</v>
      </c>
      <c r="C10" s="1556" t="s">
        <v>15</v>
      </c>
      <c r="D10" s="1557"/>
      <c r="E10" s="589">
        <f>実績表2!E11</f>
        <v>4</v>
      </c>
      <c r="F10" s="589">
        <f t="shared" ref="F10:P10" si="0">MOD($E10+COLUMN(A1)-1, 12)+1</f>
        <v>5</v>
      </c>
      <c r="G10" s="589">
        <f t="shared" si="0"/>
        <v>6</v>
      </c>
      <c r="H10" s="589">
        <f t="shared" si="0"/>
        <v>7</v>
      </c>
      <c r="I10" s="589">
        <f t="shared" si="0"/>
        <v>8</v>
      </c>
      <c r="J10" s="589">
        <f t="shared" si="0"/>
        <v>9</v>
      </c>
      <c r="K10" s="589">
        <f t="shared" si="0"/>
        <v>10</v>
      </c>
      <c r="L10" s="589">
        <f t="shared" si="0"/>
        <v>11</v>
      </c>
      <c r="M10" s="589">
        <f t="shared" si="0"/>
        <v>12</v>
      </c>
      <c r="N10" s="589">
        <f t="shared" si="0"/>
        <v>1</v>
      </c>
      <c r="O10" s="589">
        <f t="shared" si="0"/>
        <v>2</v>
      </c>
      <c r="P10" s="589">
        <f t="shared" si="0"/>
        <v>3</v>
      </c>
      <c r="Q10" s="527" t="s">
        <v>67</v>
      </c>
      <c r="R10" s="522"/>
      <c r="S10" s="522"/>
      <c r="T10" s="522"/>
      <c r="U10" s="522"/>
      <c r="V10" s="522"/>
      <c r="W10" s="522"/>
      <c r="X10" s="522"/>
      <c r="Y10" s="522"/>
      <c r="Z10" s="522"/>
      <c r="AA10" s="522"/>
      <c r="AB10" s="522"/>
      <c r="AC10" s="522"/>
      <c r="AD10" s="522"/>
      <c r="AE10" s="522"/>
      <c r="AF10" s="522"/>
      <c r="AG10" s="522"/>
      <c r="AH10" s="524"/>
      <c r="AI10" s="1378" t="str">
        <f>$Q$11</f>
        <v/>
      </c>
      <c r="AJ10" s="1378" t="str">
        <f>$Q$20</f>
        <v/>
      </c>
      <c r="AK10" s="1379"/>
      <c r="AL10" s="1379"/>
      <c r="AM10" s="1379"/>
      <c r="AN10" s="1379"/>
      <c r="AO10" s="1379"/>
      <c r="AP10" s="1379"/>
      <c r="AQ10" s="1379"/>
      <c r="AR10" s="1379"/>
      <c r="AS10" s="1379"/>
      <c r="AT10" s="1379"/>
      <c r="AU10" s="1379"/>
    </row>
    <row r="11" spans="1:48" s="523" customFormat="1" ht="24" customHeight="1">
      <c r="A11" s="522"/>
      <c r="B11" s="1561" t="str">
        <f>実績表1!$D$16&amp;" "&amp;実績表1!$E$16&amp;" "&amp;実績表1!$F$16</f>
        <v>令和  年度</v>
      </c>
      <c r="C11" s="526" t="s">
        <v>773</v>
      </c>
      <c r="D11" s="526" t="s">
        <v>775</v>
      </c>
      <c r="E11" s="1411">
        <f>IFERROR(IF(実績表2!E55="","",実績表2!E55),"")</f>
        <v>0</v>
      </c>
      <c r="F11" s="1411">
        <f>IFERROR(IF(実績表2!F55="","",実績表2!F55),"")</f>
        <v>0</v>
      </c>
      <c r="G11" s="1411">
        <f>IFERROR(IF(実績表2!G55="","",実績表2!G55),"")</f>
        <v>0</v>
      </c>
      <c r="H11" s="1411">
        <f>IFERROR(IF(実績表2!H55="","",実績表2!H55),"")</f>
        <v>0</v>
      </c>
      <c r="I11" s="1411">
        <f>IFERROR(IF(実績表2!I55="","",実績表2!I55),"")</f>
        <v>0</v>
      </c>
      <c r="J11" s="1411">
        <f>IFERROR(IF(実績表2!J55="","",実績表2!J55),"")</f>
        <v>0</v>
      </c>
      <c r="K11" s="1411">
        <f>IFERROR(IF(実績表2!K55="","",実績表2!K55),"")</f>
        <v>0</v>
      </c>
      <c r="L11" s="1411">
        <f>IFERROR(IF(実績表2!L55="","",実績表2!L55),"")</f>
        <v>0</v>
      </c>
      <c r="M11" s="1411">
        <f>IFERROR(IF(実績表2!M55="","",実績表2!M55),"")</f>
        <v>0</v>
      </c>
      <c r="N11" s="1411">
        <f>IFERROR(IF(実績表2!N55="","",実績表2!N55),"")</f>
        <v>0</v>
      </c>
      <c r="O11" s="1411">
        <f>IFERROR(IF(実績表2!O55="","",実績表2!O55),"")</f>
        <v>0</v>
      </c>
      <c r="P11" s="1411">
        <f>IFERROR(IF(実績表2!P55="","",実績表2!P55),"")</f>
        <v>0</v>
      </c>
      <c r="Q11" s="1411" t="str">
        <f>IFERROR(IF(SUM(E11:P11)=0, "", SUM(E11:P11)), "")</f>
        <v/>
      </c>
      <c r="R11" s="522"/>
      <c r="S11" s="522"/>
      <c r="T11" s="522"/>
      <c r="U11" s="522"/>
      <c r="V11" s="522"/>
      <c r="W11" s="522"/>
      <c r="X11" s="522"/>
      <c r="Y11" s="522"/>
      <c r="Z11" s="522"/>
      <c r="AA11" s="522"/>
      <c r="AB11" s="522"/>
      <c r="AC11" s="522"/>
      <c r="AD11" s="522"/>
      <c r="AE11" s="522"/>
      <c r="AF11" s="522"/>
      <c r="AG11" s="522"/>
      <c r="AH11" s="524"/>
      <c r="AI11" s="1379"/>
      <c r="AJ11" s="1379"/>
      <c r="AK11" s="1379"/>
      <c r="AL11" s="1379"/>
      <c r="AM11" s="1379"/>
      <c r="AN11" s="1379"/>
      <c r="AO11" s="1379"/>
      <c r="AP11" s="1379"/>
      <c r="AQ11" s="1379"/>
      <c r="AR11" s="1379"/>
      <c r="AS11" s="1379"/>
      <c r="AT11" s="1379"/>
      <c r="AU11" s="1379"/>
    </row>
    <row r="12" spans="1:48" s="523" customFormat="1" ht="24" customHeight="1">
      <c r="A12" s="522"/>
      <c r="B12" s="1561"/>
      <c r="C12" s="704" t="s">
        <v>4</v>
      </c>
      <c r="D12" s="704" t="s">
        <v>775</v>
      </c>
      <c r="E12" s="1412">
        <f>IFERROR(IF(実績表2!E60="","",実績表2!E60),"")</f>
        <v>0</v>
      </c>
      <c r="F12" s="1412">
        <f>IFERROR(IF(実績表2!F60="","",実績表2!F60),"")</f>
        <v>0</v>
      </c>
      <c r="G12" s="1412">
        <f>IFERROR(IF(実績表2!G60="","",実績表2!G60),"")</f>
        <v>0</v>
      </c>
      <c r="H12" s="1412">
        <f>IFERROR(IF(実績表2!H60="","",実績表2!H60),"")</f>
        <v>0</v>
      </c>
      <c r="I12" s="1412">
        <f>IFERROR(IF(実績表2!I60="","",実績表2!I60),"")</f>
        <v>0</v>
      </c>
      <c r="J12" s="1412">
        <f>IFERROR(IF(実績表2!J60="","",実績表2!J60),"")</f>
        <v>0</v>
      </c>
      <c r="K12" s="1412">
        <f>IFERROR(IF(実績表2!K60="","",実績表2!K60),"")</f>
        <v>0</v>
      </c>
      <c r="L12" s="1412">
        <f>IFERROR(IF(実績表2!L60="","",実績表2!L60),"")</f>
        <v>0</v>
      </c>
      <c r="M12" s="1412">
        <f>IFERROR(IF(実績表2!M60="","",実績表2!M60),"")</f>
        <v>0</v>
      </c>
      <c r="N12" s="1412">
        <f>IFERROR(IF(実績表2!N60="","",実績表2!N60),"")</f>
        <v>0</v>
      </c>
      <c r="O12" s="1412">
        <f>IFERROR(IF(実績表2!O60="","",実績表2!O60),"")</f>
        <v>0</v>
      </c>
      <c r="P12" s="1412">
        <f>IFERROR(IF(実績表2!P60="","",実績表2!P60),"")</f>
        <v>0</v>
      </c>
      <c r="Q12" s="1412" t="str">
        <f t="shared" ref="Q12:Q14" si="1">IFERROR(IF(SUM(E12:P12)=0, "", SUM(E12:P12)), "")</f>
        <v/>
      </c>
      <c r="R12" s="522"/>
      <c r="S12" s="522"/>
      <c r="T12" s="522"/>
      <c r="U12" s="522"/>
      <c r="V12" s="522"/>
      <c r="W12" s="522"/>
      <c r="X12" s="522"/>
      <c r="Y12" s="522"/>
      <c r="Z12" s="522"/>
      <c r="AA12" s="522"/>
      <c r="AB12" s="522"/>
      <c r="AC12" s="522"/>
      <c r="AD12" s="522"/>
      <c r="AE12" s="522"/>
      <c r="AF12" s="522"/>
      <c r="AG12" s="522"/>
      <c r="AH12" s="524"/>
      <c r="AI12" s="1377" t="s">
        <v>4</v>
      </c>
      <c r="AJ12" s="1377"/>
      <c r="AK12" s="1379"/>
      <c r="AL12" s="1379"/>
      <c r="AM12" s="1379"/>
      <c r="AN12" s="1379"/>
      <c r="AO12" s="1379"/>
      <c r="AP12" s="1379"/>
      <c r="AQ12" s="1379"/>
      <c r="AR12" s="1379"/>
      <c r="AS12" s="1379"/>
      <c r="AT12" s="1379"/>
      <c r="AU12" s="1379"/>
    </row>
    <row r="13" spans="1:48" s="523" customFormat="1" ht="24" customHeight="1">
      <c r="A13" s="522"/>
      <c r="B13" s="1561"/>
      <c r="C13" s="705" t="s">
        <v>28</v>
      </c>
      <c r="D13" s="705" t="s">
        <v>775</v>
      </c>
      <c r="E13" s="1413">
        <f>IFERROR(IF(実績表2!E63="","",実績表2!E63),"")</f>
        <v>0</v>
      </c>
      <c r="F13" s="1413">
        <f>IFERROR(IF(実績表2!F63="","",実績表2!F63),"")</f>
        <v>0</v>
      </c>
      <c r="G13" s="1413">
        <f>IFERROR(IF(実績表2!G63="","",実績表2!G63),"")</f>
        <v>0</v>
      </c>
      <c r="H13" s="1413">
        <f>IFERROR(IF(実績表2!H63="","",実績表2!H63),"")</f>
        <v>0</v>
      </c>
      <c r="I13" s="1413">
        <f>IFERROR(IF(実績表2!I63="","",実績表2!I63),"")</f>
        <v>0</v>
      </c>
      <c r="J13" s="1413">
        <f>IFERROR(IF(実績表2!J63="","",実績表2!J63),"")</f>
        <v>0</v>
      </c>
      <c r="K13" s="1413">
        <f>IFERROR(IF(実績表2!K63="","",実績表2!K63),"")</f>
        <v>0</v>
      </c>
      <c r="L13" s="1413">
        <f>IFERROR(IF(実績表2!L63="","",実績表2!L63),"")</f>
        <v>0</v>
      </c>
      <c r="M13" s="1413">
        <f>IFERROR(IF(実績表2!M63="","",実績表2!M63),"")</f>
        <v>0</v>
      </c>
      <c r="N13" s="1413">
        <f>IFERROR(IF(実績表2!N63="","",実績表2!N63),"")</f>
        <v>0</v>
      </c>
      <c r="O13" s="1413">
        <f>IFERROR(IF(実績表2!O63="","",実績表2!O63),"")</f>
        <v>0</v>
      </c>
      <c r="P13" s="1413">
        <f>IFERROR(IF(実績表2!P63="","",実績表2!P63),"")</f>
        <v>0</v>
      </c>
      <c r="Q13" s="1413" t="str">
        <f t="shared" si="1"/>
        <v/>
      </c>
      <c r="R13" s="522"/>
      <c r="S13" s="522"/>
      <c r="T13" s="522"/>
      <c r="U13" s="522"/>
      <c r="V13" s="522"/>
      <c r="W13" s="522"/>
      <c r="X13" s="522"/>
      <c r="Y13" s="522"/>
      <c r="Z13" s="522"/>
      <c r="AA13" s="522"/>
      <c r="AB13" s="522"/>
      <c r="AC13" s="522"/>
      <c r="AD13" s="522"/>
      <c r="AE13" s="522"/>
      <c r="AF13" s="522"/>
      <c r="AG13" s="522"/>
      <c r="AH13" s="524"/>
      <c r="AI13" s="1377" t="str">
        <f>$B$5</f>
        <v>令和  年度</v>
      </c>
      <c r="AJ13" s="1377" t="str">
        <f>$F$5</f>
        <v>令和  年度</v>
      </c>
      <c r="AK13" s="1379"/>
      <c r="AL13" s="1379"/>
      <c r="AM13" s="1379"/>
      <c r="AN13" s="1379"/>
      <c r="AO13" s="1379"/>
      <c r="AP13" s="1379"/>
      <c r="AQ13" s="1379"/>
      <c r="AR13" s="1379"/>
      <c r="AS13" s="1379"/>
      <c r="AT13" s="1379"/>
      <c r="AU13" s="1379"/>
    </row>
    <row r="14" spans="1:48" s="523" customFormat="1" ht="24" customHeight="1">
      <c r="A14" s="522"/>
      <c r="B14" s="1561"/>
      <c r="C14" s="717" t="s">
        <v>5</v>
      </c>
      <c r="D14" s="717" t="s">
        <v>775</v>
      </c>
      <c r="E14" s="1414">
        <f>IFERROR(IF(実績表2!E64="","",実績表2!E64),"")</f>
        <v>0</v>
      </c>
      <c r="F14" s="1414">
        <f>IFERROR(IF(実績表2!F64="","",実績表2!F64),"")</f>
        <v>0</v>
      </c>
      <c r="G14" s="1414">
        <f>IFERROR(IF(実績表2!G64="","",実績表2!G64),"")</f>
        <v>0</v>
      </c>
      <c r="H14" s="1414">
        <f>IFERROR(IF(実績表2!H64="","",実績表2!H64),"")</f>
        <v>0</v>
      </c>
      <c r="I14" s="1414">
        <f>IFERROR(IF(実績表2!I64="","",実績表2!I64),"")</f>
        <v>0</v>
      </c>
      <c r="J14" s="1414">
        <f>IFERROR(IF(実績表2!J64="","",実績表2!J64),"")</f>
        <v>0</v>
      </c>
      <c r="K14" s="1414">
        <f>IFERROR(IF(実績表2!K64="","",実績表2!K64),"")</f>
        <v>0</v>
      </c>
      <c r="L14" s="1414">
        <f>IFERROR(IF(実績表2!L64="","",実績表2!L64),"")</f>
        <v>0</v>
      </c>
      <c r="M14" s="1414">
        <f>IFERROR(IF(実績表2!M64="","",実績表2!M64),"")</f>
        <v>0</v>
      </c>
      <c r="N14" s="1414">
        <f>IFERROR(IF(実績表2!N64="","",実績表2!N64),"")</f>
        <v>0</v>
      </c>
      <c r="O14" s="1414">
        <f>IFERROR(IF(実績表2!O64="","",実績表2!O64),"")</f>
        <v>0</v>
      </c>
      <c r="P14" s="1414">
        <f>IFERROR(IF(実績表2!P64="","",実績表2!P64),"")</f>
        <v>0</v>
      </c>
      <c r="Q14" s="1414" t="str">
        <f t="shared" si="1"/>
        <v/>
      </c>
      <c r="R14" s="522"/>
      <c r="S14" s="522"/>
      <c r="T14" s="522"/>
      <c r="U14" s="522"/>
      <c r="V14" s="522"/>
      <c r="W14" s="522"/>
      <c r="X14" s="522"/>
      <c r="Y14" s="522"/>
      <c r="Z14" s="522"/>
      <c r="AA14" s="522"/>
      <c r="AB14" s="522"/>
      <c r="AC14" s="522"/>
      <c r="AD14" s="522"/>
      <c r="AE14" s="522"/>
      <c r="AF14" s="522"/>
      <c r="AG14" s="522"/>
      <c r="AH14" s="524"/>
      <c r="AI14" s="1378" t="str">
        <f>$Q$12</f>
        <v/>
      </c>
      <c r="AJ14" s="1378" t="str">
        <f>$Q$22</f>
        <v/>
      </c>
      <c r="AK14" s="1379"/>
      <c r="AL14" s="1379"/>
      <c r="AM14" s="1379"/>
      <c r="AN14" s="1379"/>
      <c r="AO14" s="1379"/>
      <c r="AP14" s="1379"/>
      <c r="AQ14" s="1379"/>
      <c r="AR14" s="1379"/>
      <c r="AS14" s="1379"/>
      <c r="AT14" s="1379"/>
      <c r="AU14" s="1379"/>
    </row>
    <row r="15" spans="1:48" s="523" customFormat="1" ht="1.5" customHeight="1">
      <c r="A15" s="522"/>
      <c r="B15" s="1561"/>
      <c r="C15" s="711" t="s">
        <v>935</v>
      </c>
      <c r="D15" s="712" t="s">
        <v>773</v>
      </c>
      <c r="E15" s="1415">
        <f>IFERROR(E11, "")</f>
        <v>0</v>
      </c>
      <c r="F15" s="1415">
        <f t="shared" ref="F15:P15" si="2">IFERROR(F11, "")</f>
        <v>0</v>
      </c>
      <c r="G15" s="1415">
        <f t="shared" si="2"/>
        <v>0</v>
      </c>
      <c r="H15" s="1415">
        <f t="shared" si="2"/>
        <v>0</v>
      </c>
      <c r="I15" s="1415">
        <f t="shared" si="2"/>
        <v>0</v>
      </c>
      <c r="J15" s="1415">
        <f t="shared" si="2"/>
        <v>0</v>
      </c>
      <c r="K15" s="1415">
        <f t="shared" si="2"/>
        <v>0</v>
      </c>
      <c r="L15" s="1415">
        <f t="shared" si="2"/>
        <v>0</v>
      </c>
      <c r="M15" s="1415">
        <f t="shared" si="2"/>
        <v>0</v>
      </c>
      <c r="N15" s="1415">
        <f t="shared" si="2"/>
        <v>0</v>
      </c>
      <c r="O15" s="1415">
        <f t="shared" si="2"/>
        <v>0</v>
      </c>
      <c r="P15" s="1415">
        <f t="shared" si="2"/>
        <v>0</v>
      </c>
      <c r="Q15" s="1416" t="str">
        <f>IFERROR(IF(SUM(E15:P15)=0, "", SUM(E15:P15)), "")</f>
        <v/>
      </c>
      <c r="R15" s="522"/>
      <c r="S15" s="522"/>
      <c r="T15" s="522"/>
      <c r="U15" s="522"/>
      <c r="V15" s="522"/>
      <c r="W15" s="522"/>
      <c r="X15" s="522"/>
      <c r="Y15" s="522"/>
      <c r="Z15" s="522"/>
      <c r="AA15" s="522"/>
      <c r="AB15" s="522"/>
      <c r="AC15" s="522"/>
      <c r="AD15" s="522"/>
      <c r="AE15" s="522"/>
      <c r="AF15" s="522"/>
      <c r="AG15" s="522"/>
      <c r="AH15" s="524"/>
      <c r="AI15" s="1379"/>
      <c r="AJ15" s="1379"/>
      <c r="AK15" s="1379"/>
      <c r="AL15" s="1379"/>
      <c r="AM15" s="1379"/>
      <c r="AN15" s="1379"/>
      <c r="AO15" s="1379"/>
      <c r="AP15" s="1379"/>
      <c r="AQ15" s="1379"/>
      <c r="AR15" s="1379"/>
      <c r="AS15" s="1379"/>
      <c r="AT15" s="1379"/>
      <c r="AU15" s="1379"/>
    </row>
    <row r="16" spans="1:48" s="523" customFormat="1" ht="1.5" customHeight="1">
      <c r="A16" s="522"/>
      <c r="B16" s="1561"/>
      <c r="C16" s="713"/>
      <c r="D16" s="714" t="s">
        <v>4</v>
      </c>
      <c r="E16" s="1417">
        <f t="shared" ref="E16:P17" si="3">IFERROR(E12, "")</f>
        <v>0</v>
      </c>
      <c r="F16" s="1417">
        <f t="shared" si="3"/>
        <v>0</v>
      </c>
      <c r="G16" s="1417">
        <f t="shared" si="3"/>
        <v>0</v>
      </c>
      <c r="H16" s="1417">
        <f t="shared" si="3"/>
        <v>0</v>
      </c>
      <c r="I16" s="1417">
        <f t="shared" si="3"/>
        <v>0</v>
      </c>
      <c r="J16" s="1417">
        <f t="shared" si="3"/>
        <v>0</v>
      </c>
      <c r="K16" s="1417">
        <f t="shared" si="3"/>
        <v>0</v>
      </c>
      <c r="L16" s="1417">
        <f t="shared" si="3"/>
        <v>0</v>
      </c>
      <c r="M16" s="1417">
        <f t="shared" si="3"/>
        <v>0</v>
      </c>
      <c r="N16" s="1417">
        <f t="shared" si="3"/>
        <v>0</v>
      </c>
      <c r="O16" s="1417">
        <f t="shared" si="3"/>
        <v>0</v>
      </c>
      <c r="P16" s="1417">
        <f t="shared" si="3"/>
        <v>0</v>
      </c>
      <c r="Q16" s="1418" t="str">
        <f t="shared" ref="Q16:Q17" si="4">IFERROR(IF(SUM(E16:P16)=0, "", SUM(E16:P16)), "")</f>
        <v/>
      </c>
      <c r="R16" s="522"/>
      <c r="S16" s="522"/>
      <c r="T16" s="522"/>
      <c r="U16" s="522"/>
      <c r="V16" s="522"/>
      <c r="W16" s="522"/>
      <c r="X16" s="522"/>
      <c r="Y16" s="522"/>
      <c r="Z16" s="522"/>
      <c r="AA16" s="522"/>
      <c r="AB16" s="522"/>
      <c r="AC16" s="522"/>
      <c r="AD16" s="522"/>
      <c r="AE16" s="522"/>
      <c r="AF16" s="522"/>
      <c r="AG16" s="522"/>
      <c r="AH16" s="524"/>
      <c r="AI16" s="1377" t="s">
        <v>13</v>
      </c>
      <c r="AJ16" s="1377"/>
      <c r="AK16" s="1379"/>
      <c r="AL16" s="1379"/>
      <c r="AM16" s="1379"/>
      <c r="AN16" s="1379"/>
      <c r="AO16" s="1379"/>
      <c r="AP16" s="1379"/>
      <c r="AQ16" s="1379"/>
      <c r="AR16" s="1379"/>
      <c r="AS16" s="1379"/>
      <c r="AT16" s="1379"/>
      <c r="AU16" s="1379"/>
    </row>
    <row r="17" spans="1:47" s="523" customFormat="1" ht="1.5" customHeight="1">
      <c r="A17" s="522"/>
      <c r="B17" s="1561"/>
      <c r="C17" s="715"/>
      <c r="D17" s="716" t="s">
        <v>28</v>
      </c>
      <c r="E17" s="1419">
        <f t="shared" si="3"/>
        <v>0</v>
      </c>
      <c r="F17" s="1419">
        <f t="shared" si="3"/>
        <v>0</v>
      </c>
      <c r="G17" s="1419">
        <f t="shared" si="3"/>
        <v>0</v>
      </c>
      <c r="H17" s="1419">
        <f t="shared" si="3"/>
        <v>0</v>
      </c>
      <c r="I17" s="1419">
        <f t="shared" si="3"/>
        <v>0</v>
      </c>
      <c r="J17" s="1419">
        <f t="shared" si="3"/>
        <v>0</v>
      </c>
      <c r="K17" s="1419">
        <f t="shared" si="3"/>
        <v>0</v>
      </c>
      <c r="L17" s="1419">
        <f t="shared" si="3"/>
        <v>0</v>
      </c>
      <c r="M17" s="1419">
        <f t="shared" si="3"/>
        <v>0</v>
      </c>
      <c r="N17" s="1419">
        <f t="shared" si="3"/>
        <v>0</v>
      </c>
      <c r="O17" s="1419">
        <f t="shared" si="3"/>
        <v>0</v>
      </c>
      <c r="P17" s="1419">
        <f t="shared" si="3"/>
        <v>0</v>
      </c>
      <c r="Q17" s="1420" t="str">
        <f t="shared" si="4"/>
        <v/>
      </c>
      <c r="R17" s="522"/>
      <c r="S17" s="522"/>
      <c r="T17" s="522"/>
      <c r="U17" s="522"/>
      <c r="V17" s="522"/>
      <c r="W17" s="522"/>
      <c r="X17" s="522"/>
      <c r="Y17" s="522"/>
      <c r="Z17" s="522"/>
      <c r="AA17" s="522"/>
      <c r="AB17" s="522"/>
      <c r="AC17" s="522"/>
      <c r="AD17" s="522"/>
      <c r="AE17" s="522"/>
      <c r="AF17" s="522"/>
      <c r="AG17" s="522"/>
      <c r="AH17" s="524"/>
      <c r="AI17" s="1377" t="str">
        <f>$B$5</f>
        <v>令和  年度</v>
      </c>
      <c r="AJ17" s="1377" t="str">
        <f>$F$5</f>
        <v>令和  年度</v>
      </c>
      <c r="AK17" s="1379"/>
      <c r="AL17" s="1379"/>
      <c r="AM17" s="1379"/>
      <c r="AN17" s="1379"/>
      <c r="AO17" s="1379"/>
      <c r="AP17" s="1379"/>
      <c r="AQ17" s="1379"/>
      <c r="AR17" s="1379"/>
      <c r="AS17" s="1379"/>
      <c r="AT17" s="1379"/>
      <c r="AU17" s="1379"/>
    </row>
    <row r="18" spans="1:47" s="523" customFormat="1" ht="24" customHeight="1">
      <c r="A18" s="522"/>
      <c r="B18" s="1561"/>
      <c r="C18" s="709" t="s">
        <v>778</v>
      </c>
      <c r="D18" s="718" t="s">
        <v>782</v>
      </c>
      <c r="E18" s="1421" t="str">
        <f>IFERROR(IF(E12+E13=0, "", E12+E13), "")</f>
        <v/>
      </c>
      <c r="F18" s="1421" t="str">
        <f t="shared" ref="F18:P18" si="5">IFERROR(IF(F12+F13=0, "", F12+F13), "")</f>
        <v/>
      </c>
      <c r="G18" s="1421" t="str">
        <f t="shared" si="5"/>
        <v/>
      </c>
      <c r="H18" s="1421" t="str">
        <f t="shared" si="5"/>
        <v/>
      </c>
      <c r="I18" s="1421" t="str">
        <f t="shared" si="5"/>
        <v/>
      </c>
      <c r="J18" s="1421" t="str">
        <f t="shared" si="5"/>
        <v/>
      </c>
      <c r="K18" s="1421" t="str">
        <f t="shared" si="5"/>
        <v/>
      </c>
      <c r="L18" s="1421" t="str">
        <f t="shared" si="5"/>
        <v/>
      </c>
      <c r="M18" s="1421" t="str">
        <f t="shared" si="5"/>
        <v/>
      </c>
      <c r="N18" s="1421" t="str">
        <f t="shared" si="5"/>
        <v/>
      </c>
      <c r="O18" s="1421" t="str">
        <f t="shared" si="5"/>
        <v/>
      </c>
      <c r="P18" s="1421" t="str">
        <f t="shared" si="5"/>
        <v/>
      </c>
      <c r="Q18" s="1421" t="str">
        <f>IFERROR(IF(SUM(E18:P18)=0, "", SUM(E18:P18)), "")</f>
        <v/>
      </c>
      <c r="R18" s="522"/>
      <c r="S18" s="522"/>
      <c r="T18" s="522"/>
      <c r="U18" s="522"/>
      <c r="V18" s="522"/>
      <c r="W18" s="522"/>
      <c r="X18" s="522"/>
      <c r="Y18" s="522"/>
      <c r="Z18" s="522"/>
      <c r="AA18" s="522"/>
      <c r="AB18" s="522"/>
      <c r="AC18" s="522"/>
      <c r="AD18" s="522"/>
      <c r="AE18" s="522"/>
      <c r="AF18" s="522"/>
      <c r="AG18" s="522"/>
      <c r="AH18" s="524"/>
      <c r="AI18" s="1378" t="str">
        <f>Q13</f>
        <v/>
      </c>
      <c r="AJ18" s="1378" t="str">
        <f>Q24</f>
        <v/>
      </c>
      <c r="AK18" s="1379"/>
      <c r="AL18" s="1379"/>
      <c r="AM18" s="1379"/>
      <c r="AN18" s="1379"/>
      <c r="AO18" s="1379"/>
      <c r="AP18" s="1379"/>
      <c r="AQ18" s="1379"/>
      <c r="AR18" s="1379"/>
      <c r="AS18" s="1379"/>
      <c r="AT18" s="1379"/>
      <c r="AU18" s="1379"/>
    </row>
    <row r="19" spans="1:47" s="523" customFormat="1" ht="24" customHeight="1">
      <c r="A19" s="522"/>
      <c r="B19" s="1561"/>
      <c r="C19" s="710"/>
      <c r="D19" s="718" t="s">
        <v>783</v>
      </c>
      <c r="E19" s="1421">
        <f>IFERROR(IF(E11="","",E11),"")</f>
        <v>0</v>
      </c>
      <c r="F19" s="1421">
        <f t="shared" ref="F19:P19" si="6">IFERROR(IF(F11="","",F11),"")</f>
        <v>0</v>
      </c>
      <c r="G19" s="1421">
        <f t="shared" si="6"/>
        <v>0</v>
      </c>
      <c r="H19" s="1421">
        <f t="shared" si="6"/>
        <v>0</v>
      </c>
      <c r="I19" s="1421">
        <f t="shared" si="6"/>
        <v>0</v>
      </c>
      <c r="J19" s="1421">
        <f t="shared" si="6"/>
        <v>0</v>
      </c>
      <c r="K19" s="1421">
        <f t="shared" si="6"/>
        <v>0</v>
      </c>
      <c r="L19" s="1421">
        <f t="shared" si="6"/>
        <v>0</v>
      </c>
      <c r="M19" s="1421">
        <f t="shared" si="6"/>
        <v>0</v>
      </c>
      <c r="N19" s="1421">
        <f t="shared" si="6"/>
        <v>0</v>
      </c>
      <c r="O19" s="1421">
        <f t="shared" si="6"/>
        <v>0</v>
      </c>
      <c r="P19" s="1421">
        <f t="shared" si="6"/>
        <v>0</v>
      </c>
      <c r="Q19" s="1421" t="str">
        <f>IFERROR(IF(SUM(E19:P19)=0, "", SUM(E19:P19)), "")</f>
        <v/>
      </c>
      <c r="R19" s="522"/>
      <c r="S19" s="522"/>
      <c r="T19" s="522"/>
      <c r="U19" s="522"/>
      <c r="V19" s="522"/>
      <c r="W19" s="522"/>
      <c r="X19" s="522"/>
      <c r="Y19" s="522"/>
      <c r="Z19" s="522"/>
      <c r="AA19" s="522"/>
      <c r="AB19" s="522"/>
      <c r="AC19" s="522"/>
      <c r="AD19" s="522"/>
      <c r="AE19" s="522"/>
      <c r="AF19" s="522"/>
      <c r="AG19" s="522"/>
      <c r="AH19" s="524"/>
      <c r="AI19" s="1379"/>
      <c r="AJ19" s="1379"/>
      <c r="AK19" s="1379"/>
      <c r="AL19" s="1379"/>
      <c r="AM19" s="1379"/>
      <c r="AN19" s="1379"/>
      <c r="AO19" s="1379"/>
      <c r="AP19" s="1379"/>
      <c r="AQ19" s="1379"/>
      <c r="AR19" s="1379"/>
      <c r="AS19" s="1379"/>
      <c r="AT19" s="1379"/>
      <c r="AU19" s="1379"/>
    </row>
    <row r="20" spans="1:47" s="523" customFormat="1" ht="24.65" customHeight="1">
      <c r="A20" s="522"/>
      <c r="B20" s="1558" t="str">
        <f>実績表1!$G$16&amp;" "&amp;実績表1!$H$16&amp;" "&amp;実績表1!$I$16</f>
        <v>令和  年度</v>
      </c>
      <c r="C20" s="702" t="s">
        <v>773</v>
      </c>
      <c r="D20" s="526" t="s">
        <v>775</v>
      </c>
      <c r="E20" s="1422">
        <f>IFERROR(IF(実績表2!E68="","",実績表2!E68),"")</f>
        <v>0</v>
      </c>
      <c r="F20" s="1422">
        <f>IFERROR(IF(実績表2!F68="","",実績表2!F68),"")</f>
        <v>0</v>
      </c>
      <c r="G20" s="1422">
        <f>IFERROR(IF(実績表2!G68="","",実績表2!G68),"")</f>
        <v>0</v>
      </c>
      <c r="H20" s="1422">
        <f>IFERROR(IF(実績表2!H68="","",実績表2!H68),"")</f>
        <v>0</v>
      </c>
      <c r="I20" s="1422">
        <f>IFERROR(IF(実績表2!I68="","",実績表2!I68),"")</f>
        <v>0</v>
      </c>
      <c r="J20" s="1422">
        <f>IFERROR(IF(実績表2!J68="","",実績表2!J68),"")</f>
        <v>0</v>
      </c>
      <c r="K20" s="1422">
        <f>IFERROR(IF(実績表2!K68="","",実績表2!K68),"")</f>
        <v>0</v>
      </c>
      <c r="L20" s="1422">
        <f>IFERROR(IF(実績表2!L68="","",実績表2!L68),"")</f>
        <v>0</v>
      </c>
      <c r="M20" s="1422">
        <f>IFERROR(IF(実績表2!M68="","",実績表2!M68),"")</f>
        <v>0</v>
      </c>
      <c r="N20" s="1422">
        <f>IFERROR(IF(実績表2!N68="","",実績表2!N68),"")</f>
        <v>0</v>
      </c>
      <c r="O20" s="1422">
        <f>IFERROR(IF(実績表2!O68="","",実績表2!O68),"")</f>
        <v>0</v>
      </c>
      <c r="P20" s="1422">
        <f>IFERROR(IF(実績表2!P68="","",実績表2!P68),"")</f>
        <v>0</v>
      </c>
      <c r="Q20" s="1411" t="str">
        <f>IFERROR(IF(SUM(E20:P20)=0, "", SUM(E20:P20)), "")</f>
        <v/>
      </c>
      <c r="R20" s="522"/>
      <c r="S20" s="522"/>
      <c r="T20" s="522"/>
      <c r="U20" s="522"/>
      <c r="V20" s="522"/>
      <c r="W20" s="522"/>
      <c r="X20" s="522"/>
      <c r="Y20" s="522"/>
      <c r="Z20" s="522"/>
      <c r="AA20" s="522"/>
      <c r="AB20" s="522"/>
      <c r="AC20" s="522"/>
      <c r="AD20" s="522"/>
      <c r="AE20" s="522"/>
      <c r="AF20" s="522"/>
      <c r="AG20" s="522"/>
      <c r="AH20" s="524"/>
      <c r="AI20" s="1379" t="s">
        <v>836</v>
      </c>
      <c r="AJ20" s="1379"/>
      <c r="AK20" s="1379"/>
      <c r="AL20" s="1379"/>
      <c r="AM20" s="1379"/>
      <c r="AN20" s="1379"/>
      <c r="AO20" s="1379"/>
      <c r="AP20" s="1379"/>
      <c r="AQ20" s="1379"/>
      <c r="AR20" s="1379"/>
      <c r="AS20" s="1379"/>
      <c r="AT20" s="1379"/>
      <c r="AU20" s="1379"/>
    </row>
    <row r="21" spans="1:47" s="523" customFormat="1" ht="24.65" customHeight="1">
      <c r="A21" s="522"/>
      <c r="B21" s="1559"/>
      <c r="C21" s="703"/>
      <c r="D21" s="708" t="s">
        <v>722</v>
      </c>
      <c r="E21" s="1423" t="str">
        <f>IFERROR(IF(E20/E11=0, "", E20/E11), "")</f>
        <v/>
      </c>
      <c r="F21" s="1423" t="str">
        <f>IFERROR(IF(F20/F11=0, "", F20/F11), "")</f>
        <v/>
      </c>
      <c r="G21" s="1423" t="str">
        <f>IFERROR(IF(G20/G11=0, "", G20/G11), "")</f>
        <v/>
      </c>
      <c r="H21" s="1423" t="str">
        <f t="shared" ref="H21:O21" si="7">IFERROR(IF(H20/H11=0, "", H20/H11), "")</f>
        <v/>
      </c>
      <c r="I21" s="1423" t="str">
        <f t="shared" si="7"/>
        <v/>
      </c>
      <c r="J21" s="1423" t="str">
        <f t="shared" si="7"/>
        <v/>
      </c>
      <c r="K21" s="1423" t="str">
        <f t="shared" si="7"/>
        <v/>
      </c>
      <c r="L21" s="1423" t="str">
        <f t="shared" si="7"/>
        <v/>
      </c>
      <c r="M21" s="1423" t="str">
        <f t="shared" si="7"/>
        <v/>
      </c>
      <c r="N21" s="1423" t="str">
        <f t="shared" si="7"/>
        <v/>
      </c>
      <c r="O21" s="1423" t="str">
        <f t="shared" si="7"/>
        <v/>
      </c>
      <c r="P21" s="1423" t="str">
        <f>IFERROR(IF(P20/P11=0, "", P20/P11), "")</f>
        <v/>
      </c>
      <c r="Q21" s="1423" t="str">
        <f>IFERROR(IF(Q20/Q11=0, "", Q20/Q11), "")</f>
        <v/>
      </c>
      <c r="R21" s="521"/>
      <c r="S21" s="521"/>
      <c r="T21" s="521"/>
      <c r="U21" s="521"/>
      <c r="V21" s="524"/>
      <c r="W21" s="521"/>
      <c r="X21" s="521"/>
      <c r="Y21" s="521"/>
      <c r="Z21" s="521"/>
      <c r="AA21" s="521"/>
      <c r="AB21" s="521"/>
      <c r="AC21" s="521"/>
      <c r="AD21" s="521"/>
      <c r="AE21" s="521"/>
      <c r="AF21" s="521"/>
      <c r="AG21" s="522"/>
      <c r="AH21" s="524"/>
      <c r="AI21" s="1381"/>
      <c r="AJ21" s="1382">
        <f>実績表2!$E$11</f>
        <v>4</v>
      </c>
      <c r="AK21" s="1382">
        <f>MOD(AJ21, 12) + 1</f>
        <v>5</v>
      </c>
      <c r="AL21" s="1382">
        <f t="shared" ref="AL21:AU21" si="8">MOD(AK21, 12) + 1</f>
        <v>6</v>
      </c>
      <c r="AM21" s="1382">
        <f t="shared" si="8"/>
        <v>7</v>
      </c>
      <c r="AN21" s="1382">
        <f t="shared" si="8"/>
        <v>8</v>
      </c>
      <c r="AO21" s="1382">
        <f t="shared" si="8"/>
        <v>9</v>
      </c>
      <c r="AP21" s="1382">
        <f t="shared" si="8"/>
        <v>10</v>
      </c>
      <c r="AQ21" s="1382">
        <f t="shared" si="8"/>
        <v>11</v>
      </c>
      <c r="AR21" s="1382">
        <f t="shared" si="8"/>
        <v>12</v>
      </c>
      <c r="AS21" s="1382">
        <f t="shared" si="8"/>
        <v>1</v>
      </c>
      <c r="AT21" s="1382">
        <f t="shared" si="8"/>
        <v>2</v>
      </c>
      <c r="AU21" s="1382">
        <f t="shared" si="8"/>
        <v>3</v>
      </c>
    </row>
    <row r="22" spans="1:47" s="525" customFormat="1" ht="24.65" customHeight="1">
      <c r="A22" s="521"/>
      <c r="B22" s="1559"/>
      <c r="C22" s="530" t="s">
        <v>4</v>
      </c>
      <c r="D22" s="704" t="s">
        <v>775</v>
      </c>
      <c r="E22" s="1424">
        <f>IFERROR(IF(実績表2!E78="","",実績表2!E78),"")</f>
        <v>0</v>
      </c>
      <c r="F22" s="1424">
        <f>IFERROR(IF(実績表2!F78="","",実績表2!F78),"")</f>
        <v>0</v>
      </c>
      <c r="G22" s="1424">
        <f>IFERROR(IF(実績表2!G78="","",実績表2!G78),"")</f>
        <v>0</v>
      </c>
      <c r="H22" s="1424">
        <f>IFERROR(IF(実績表2!H78="","",実績表2!H78),"")</f>
        <v>0</v>
      </c>
      <c r="I22" s="1424">
        <f>IFERROR(IF(実績表2!I78="","",実績表2!I78),"")</f>
        <v>0</v>
      </c>
      <c r="J22" s="1424">
        <f>IFERROR(IF(実績表2!J78="","",実績表2!J78),"")</f>
        <v>0</v>
      </c>
      <c r="K22" s="1424">
        <f>IFERROR(IF(実績表2!K78="","",実績表2!K78),"")</f>
        <v>0</v>
      </c>
      <c r="L22" s="1424">
        <f>IFERROR(IF(実績表2!L78="","",実績表2!L78),"")</f>
        <v>0</v>
      </c>
      <c r="M22" s="1424">
        <f>IFERROR(IF(実績表2!M78="","",実績表2!M78),"")</f>
        <v>0</v>
      </c>
      <c r="N22" s="1424">
        <f>IFERROR(IF(実績表2!N78="","",実績表2!N78),"")</f>
        <v>0</v>
      </c>
      <c r="O22" s="1424">
        <f>IFERROR(IF(実績表2!O78="","",実績表2!O78),"")</f>
        <v>0</v>
      </c>
      <c r="P22" s="1424">
        <f>IFERROR(IF(実績表2!P78="","",実績表2!P78),"")</f>
        <v>0</v>
      </c>
      <c r="Q22" s="1412" t="str">
        <f>IFERROR(IF(SUM(E22:P22)=0, "", SUM(E22:P22)), "")</f>
        <v/>
      </c>
      <c r="R22" s="521"/>
      <c r="S22" s="521"/>
      <c r="T22" s="521"/>
      <c r="U22" s="521"/>
      <c r="V22" s="524"/>
      <c r="W22" s="521"/>
      <c r="X22" s="521"/>
      <c r="Y22" s="521"/>
      <c r="Z22" s="521"/>
      <c r="AA22" s="521"/>
      <c r="AB22" s="521"/>
      <c r="AC22" s="521"/>
      <c r="AD22" s="521"/>
      <c r="AE22" s="521"/>
      <c r="AF22" s="521"/>
      <c r="AG22" s="521"/>
      <c r="AH22" s="521"/>
      <c r="AI22" s="1381" t="str">
        <f>実績表1!$D$16&amp;" "&amp;実績表1!$E$16&amp;" "&amp;実績表1!$F$16&amp;" "&amp;$AI$20</f>
        <v>令和  年度 購入電力</v>
      </c>
      <c r="AJ22" s="1383">
        <f>実績表2!E55</f>
        <v>0</v>
      </c>
      <c r="AK22" s="1383">
        <f>実績表2!F55</f>
        <v>0</v>
      </c>
      <c r="AL22" s="1383">
        <f>実績表2!G55</f>
        <v>0</v>
      </c>
      <c r="AM22" s="1383">
        <f>実績表2!H55</f>
        <v>0</v>
      </c>
      <c r="AN22" s="1383">
        <f>実績表2!I55</f>
        <v>0</v>
      </c>
      <c r="AO22" s="1383">
        <f>実績表2!J55</f>
        <v>0</v>
      </c>
      <c r="AP22" s="1383">
        <f>実績表2!K55</f>
        <v>0</v>
      </c>
      <c r="AQ22" s="1383">
        <f>実績表2!L55</f>
        <v>0</v>
      </c>
      <c r="AR22" s="1383">
        <f>実績表2!M55</f>
        <v>0</v>
      </c>
      <c r="AS22" s="1383">
        <f>実績表2!N55</f>
        <v>0</v>
      </c>
      <c r="AT22" s="1383">
        <f>実績表2!O55</f>
        <v>0</v>
      </c>
      <c r="AU22" s="1383">
        <f>実績表2!P55</f>
        <v>0</v>
      </c>
    </row>
    <row r="23" spans="1:47" s="525" customFormat="1" ht="24.65" customHeight="1">
      <c r="A23" s="521"/>
      <c r="B23" s="1559"/>
      <c r="C23" s="531"/>
      <c r="D23" s="708" t="s">
        <v>722</v>
      </c>
      <c r="E23" s="1423" t="str">
        <f>IFERROR(IF(E22/E12=0, "", E22/E12), "")</f>
        <v/>
      </c>
      <c r="F23" s="1423" t="str">
        <f>IFERROR(IF(F22/F12=0, "", F22/F12), "")</f>
        <v/>
      </c>
      <c r="G23" s="1423" t="str">
        <f>IFERROR(IF(G22/G12=0, "", G22/G12), "")</f>
        <v/>
      </c>
      <c r="H23" s="1423" t="str">
        <f t="shared" ref="H23:O23" si="9">IFERROR(IF(H22/H12=0, "", H22/H12), "")</f>
        <v/>
      </c>
      <c r="I23" s="1423" t="str">
        <f t="shared" si="9"/>
        <v/>
      </c>
      <c r="J23" s="1423" t="str">
        <f t="shared" si="9"/>
        <v/>
      </c>
      <c r="K23" s="1423" t="str">
        <f t="shared" si="9"/>
        <v/>
      </c>
      <c r="L23" s="1423" t="str">
        <f t="shared" si="9"/>
        <v/>
      </c>
      <c r="M23" s="1423" t="str">
        <f t="shared" si="9"/>
        <v/>
      </c>
      <c r="N23" s="1423" t="str">
        <f t="shared" si="9"/>
        <v/>
      </c>
      <c r="O23" s="1423" t="str">
        <f t="shared" si="9"/>
        <v/>
      </c>
      <c r="P23" s="1423" t="str">
        <f>IFERROR(IF(P22/P12=0, "", P22/P12), "")</f>
        <v/>
      </c>
      <c r="Q23" s="1423" t="str">
        <f>IFERROR(IF(Q22/Q12=0, "", Q22/Q12), "")</f>
        <v/>
      </c>
      <c r="R23" s="521"/>
      <c r="S23" s="521"/>
      <c r="T23" s="521"/>
      <c r="U23" s="521"/>
      <c r="V23" s="522"/>
      <c r="W23" s="521"/>
      <c r="X23" s="521"/>
      <c r="Y23" s="521"/>
      <c r="Z23" s="521"/>
      <c r="AA23" s="521"/>
      <c r="AB23" s="521"/>
      <c r="AC23" s="521"/>
      <c r="AD23" s="521"/>
      <c r="AE23" s="521"/>
      <c r="AF23" s="521"/>
      <c r="AG23" s="521"/>
      <c r="AH23" s="521"/>
      <c r="AI23" s="1381" t="str">
        <f>実績表1!$G$16&amp;" "&amp;実績表1!$H$16&amp;" "&amp;実績表1!$I$16&amp;" "&amp;$AI$20</f>
        <v>令和  年度 購入電力</v>
      </c>
      <c r="AJ23" s="1383">
        <f>実績表2!E68</f>
        <v>0</v>
      </c>
      <c r="AK23" s="1383">
        <f>実績表2!F68</f>
        <v>0</v>
      </c>
      <c r="AL23" s="1383">
        <f>実績表2!G68</f>
        <v>0</v>
      </c>
      <c r="AM23" s="1383">
        <f>実績表2!H68</f>
        <v>0</v>
      </c>
      <c r="AN23" s="1383">
        <f>実績表2!I68</f>
        <v>0</v>
      </c>
      <c r="AO23" s="1383">
        <f>実績表2!J68</f>
        <v>0</v>
      </c>
      <c r="AP23" s="1383">
        <f>実績表2!K68</f>
        <v>0</v>
      </c>
      <c r="AQ23" s="1383">
        <f>実績表2!L68</f>
        <v>0</v>
      </c>
      <c r="AR23" s="1383">
        <f>実績表2!M68</f>
        <v>0</v>
      </c>
      <c r="AS23" s="1383">
        <f>実績表2!N68</f>
        <v>0</v>
      </c>
      <c r="AT23" s="1383">
        <f>実績表2!O68</f>
        <v>0</v>
      </c>
      <c r="AU23" s="1383">
        <f>実績表2!P68</f>
        <v>0</v>
      </c>
    </row>
    <row r="24" spans="1:47" s="525" customFormat="1" ht="24.65" customHeight="1">
      <c r="A24" s="521"/>
      <c r="B24" s="1559"/>
      <c r="C24" s="706" t="s">
        <v>28</v>
      </c>
      <c r="D24" s="705" t="s">
        <v>775</v>
      </c>
      <c r="E24" s="1425">
        <f>IFERROR(IF(実績表2!E84="","",実績表2!E84),"")</f>
        <v>0</v>
      </c>
      <c r="F24" s="1425">
        <f>IFERROR(IF(実績表2!F84="","",実績表2!F84),"")</f>
        <v>0</v>
      </c>
      <c r="G24" s="1425">
        <f>IFERROR(IF(実績表2!G84="","",実績表2!G84),"")</f>
        <v>0</v>
      </c>
      <c r="H24" s="1425">
        <f>IFERROR(IF(実績表2!H84="","",実績表2!H84),"")</f>
        <v>0</v>
      </c>
      <c r="I24" s="1425">
        <f>IFERROR(IF(実績表2!I84="","",実績表2!I84),"")</f>
        <v>0</v>
      </c>
      <c r="J24" s="1425">
        <f>IFERROR(IF(実績表2!J84="","",実績表2!J84),"")</f>
        <v>0</v>
      </c>
      <c r="K24" s="1425">
        <f>IFERROR(IF(実績表2!K84="","",実績表2!K84),"")</f>
        <v>0</v>
      </c>
      <c r="L24" s="1425">
        <f>IFERROR(IF(実績表2!L84="","",実績表2!L84),"")</f>
        <v>0</v>
      </c>
      <c r="M24" s="1425">
        <f>IFERROR(IF(実績表2!M84="","",実績表2!M84),"")</f>
        <v>0</v>
      </c>
      <c r="N24" s="1425">
        <f>IFERROR(IF(実績表2!N84="","",実績表2!N84),"")</f>
        <v>0</v>
      </c>
      <c r="O24" s="1425">
        <f>IFERROR(IF(実績表2!O84="","",実績表2!O84),"")</f>
        <v>0</v>
      </c>
      <c r="P24" s="1425">
        <f>IFERROR(IF(実績表2!P84="","",実績表2!P84),"")</f>
        <v>0</v>
      </c>
      <c r="Q24" s="1413" t="str">
        <f>IFERROR(IF(SUM(E24:P24)=0, "", SUM(E24:P24)), "")</f>
        <v/>
      </c>
      <c r="R24" s="521"/>
      <c r="S24" s="521"/>
      <c r="T24" s="521"/>
      <c r="U24" s="521"/>
      <c r="V24" s="521"/>
      <c r="W24" s="521"/>
      <c r="X24" s="521"/>
      <c r="Y24" s="521"/>
      <c r="Z24" s="521"/>
      <c r="AA24" s="521"/>
      <c r="AB24" s="521"/>
      <c r="AC24" s="521"/>
      <c r="AD24" s="521"/>
      <c r="AE24" s="521"/>
      <c r="AF24" s="521"/>
      <c r="AG24" s="521"/>
      <c r="AH24" s="521"/>
      <c r="AI24" s="1380"/>
      <c r="AJ24" s="1380"/>
      <c r="AK24" s="1380"/>
      <c r="AL24" s="1380"/>
      <c r="AM24" s="1380"/>
      <c r="AN24" s="1380"/>
      <c r="AO24" s="1380"/>
      <c r="AP24" s="1380"/>
      <c r="AQ24" s="1380"/>
      <c r="AR24" s="1380"/>
      <c r="AS24" s="1380"/>
      <c r="AT24" s="1380"/>
      <c r="AU24" s="1380"/>
    </row>
    <row r="25" spans="1:47" s="525" customFormat="1" ht="24.65" customHeight="1">
      <c r="A25" s="521"/>
      <c r="B25" s="1559"/>
      <c r="C25" s="707"/>
      <c r="D25" s="708" t="s">
        <v>722</v>
      </c>
      <c r="E25" s="1423" t="str">
        <f>IFERROR(IF(E24/E13=0, "", E24/E13), "")</f>
        <v/>
      </c>
      <c r="F25" s="1423" t="str">
        <f>IFERROR(IF(F24/F13=0, "", F24/F13), "")</f>
        <v/>
      </c>
      <c r="G25" s="1423" t="str">
        <f>IFERROR(IF(G24/G13=0, "", G24/G13), "")</f>
        <v/>
      </c>
      <c r="H25" s="1423" t="str">
        <f t="shared" ref="H25:Q25" si="10">IFERROR(IF(H24/H13=0, "", H24/H13), "")</f>
        <v/>
      </c>
      <c r="I25" s="1423" t="str">
        <f t="shared" si="10"/>
        <v/>
      </c>
      <c r="J25" s="1423" t="str">
        <f t="shared" si="10"/>
        <v/>
      </c>
      <c r="K25" s="1423" t="str">
        <f t="shared" si="10"/>
        <v/>
      </c>
      <c r="L25" s="1423" t="str">
        <f t="shared" si="10"/>
        <v/>
      </c>
      <c r="M25" s="1423" t="str">
        <f t="shared" si="10"/>
        <v/>
      </c>
      <c r="N25" s="1423" t="str">
        <f t="shared" si="10"/>
        <v/>
      </c>
      <c r="O25" s="1423" t="str">
        <f t="shared" si="10"/>
        <v/>
      </c>
      <c r="P25" s="1423" t="str">
        <f t="shared" si="10"/>
        <v/>
      </c>
      <c r="Q25" s="1423" t="str">
        <f t="shared" si="10"/>
        <v/>
      </c>
      <c r="R25" s="48"/>
      <c r="S25" s="48"/>
      <c r="T25" s="48"/>
      <c r="U25" s="48"/>
      <c r="V25" s="48"/>
      <c r="W25" s="48"/>
      <c r="X25" s="48"/>
      <c r="Y25" s="48"/>
      <c r="Z25" s="48"/>
      <c r="AA25" s="48"/>
      <c r="AB25" s="48"/>
      <c r="AC25" s="48"/>
      <c r="AD25" s="48"/>
      <c r="AE25" s="48"/>
      <c r="AF25" s="48"/>
      <c r="AG25" s="521"/>
      <c r="AH25" s="521"/>
      <c r="AI25" s="1381" t="s">
        <v>834</v>
      </c>
      <c r="AJ25" s="1380"/>
      <c r="AK25" s="1380"/>
      <c r="AL25" s="1380"/>
      <c r="AM25" s="1380"/>
      <c r="AN25" s="1380"/>
      <c r="AO25" s="1380"/>
      <c r="AP25" s="1380"/>
      <c r="AQ25" s="1380"/>
      <c r="AR25" s="1380"/>
      <c r="AS25" s="1380"/>
      <c r="AT25" s="1380"/>
      <c r="AU25" s="1380"/>
    </row>
    <row r="26" spans="1:47" ht="22" customHeight="1">
      <c r="A26" s="48"/>
      <c r="B26" s="1559"/>
      <c r="C26" s="528" t="s">
        <v>5</v>
      </c>
      <c r="D26" s="717" t="s">
        <v>775</v>
      </c>
      <c r="E26" s="1426">
        <f>IFERROR(IF(実績表2!E86="","",実績表2!E86),"")</f>
        <v>0</v>
      </c>
      <c r="F26" s="1426">
        <f>IFERROR(IF(実績表2!F86="","",実績表2!F86),"")</f>
        <v>0</v>
      </c>
      <c r="G26" s="1426">
        <f>IFERROR(IF(実績表2!G86="","",実績表2!G86),"")</f>
        <v>0</v>
      </c>
      <c r="H26" s="1426">
        <f>IFERROR(IF(実績表2!H86="","",実績表2!H86),"")</f>
        <v>0</v>
      </c>
      <c r="I26" s="1426">
        <f>IFERROR(IF(実績表2!I86="","",実績表2!I86),"")</f>
        <v>0</v>
      </c>
      <c r="J26" s="1426">
        <f>IFERROR(IF(実績表2!J86="","",実績表2!J86),"")</f>
        <v>0</v>
      </c>
      <c r="K26" s="1426">
        <f>IFERROR(IF(実績表2!K86="","",実績表2!K86),"")</f>
        <v>0</v>
      </c>
      <c r="L26" s="1426">
        <f>IFERROR(IF(実績表2!L86="","",実績表2!L86),"")</f>
        <v>0</v>
      </c>
      <c r="M26" s="1426">
        <f>IFERROR(IF(実績表2!M86="","",実績表2!M86),"")</f>
        <v>0</v>
      </c>
      <c r="N26" s="1426">
        <f>IFERROR(IF(実績表2!N86="","",実績表2!N86),"")</f>
        <v>0</v>
      </c>
      <c r="O26" s="1426">
        <f>IFERROR(IF(実績表2!O86="","",実績表2!O86),"")</f>
        <v>0</v>
      </c>
      <c r="P26" s="1426">
        <f>IFERROR(IF(実績表2!P86="","",実績表2!P86),"")</f>
        <v>0</v>
      </c>
      <c r="Q26" s="1414" t="str">
        <f>IFERROR(IF(SUM(E26:P26)=0, "", SUM(E26:P26)), "")</f>
        <v/>
      </c>
      <c r="R26" s="48"/>
      <c r="S26" s="48"/>
      <c r="T26" s="48"/>
      <c r="U26" s="48"/>
      <c r="V26" s="48"/>
      <c r="W26" s="48"/>
      <c r="X26" s="48"/>
      <c r="Y26" s="48"/>
      <c r="Z26" s="48"/>
      <c r="AA26" s="48"/>
      <c r="AB26" s="48"/>
      <c r="AC26" s="48"/>
      <c r="AD26" s="48"/>
      <c r="AE26" s="48"/>
      <c r="AF26" s="48"/>
      <c r="AG26" s="48"/>
      <c r="AH26" s="48"/>
      <c r="AI26" s="1381"/>
      <c r="AJ26" s="1382">
        <f>実績表2!$E$11</f>
        <v>4</v>
      </c>
      <c r="AK26" s="1382">
        <f>MOD(AJ26, 12) + 1</f>
        <v>5</v>
      </c>
      <c r="AL26" s="1382">
        <f t="shared" ref="AL26:AU26" si="11">MOD(AK26, 12) + 1</f>
        <v>6</v>
      </c>
      <c r="AM26" s="1382">
        <f t="shared" si="11"/>
        <v>7</v>
      </c>
      <c r="AN26" s="1382">
        <f t="shared" si="11"/>
        <v>8</v>
      </c>
      <c r="AO26" s="1382">
        <f t="shared" si="11"/>
        <v>9</v>
      </c>
      <c r="AP26" s="1382">
        <f t="shared" si="11"/>
        <v>10</v>
      </c>
      <c r="AQ26" s="1382">
        <f t="shared" si="11"/>
        <v>11</v>
      </c>
      <c r="AR26" s="1382">
        <f t="shared" si="11"/>
        <v>12</v>
      </c>
      <c r="AS26" s="1382">
        <f t="shared" si="11"/>
        <v>1</v>
      </c>
      <c r="AT26" s="1382">
        <f t="shared" si="11"/>
        <v>2</v>
      </c>
      <c r="AU26" s="1382">
        <f t="shared" si="11"/>
        <v>3</v>
      </c>
    </row>
    <row r="27" spans="1:47" ht="22" customHeight="1">
      <c r="A27" s="48"/>
      <c r="B27" s="1559"/>
      <c r="C27" s="529"/>
      <c r="D27" s="708" t="s">
        <v>722</v>
      </c>
      <c r="E27" s="1423" t="str">
        <f>IFERROR(IF(E26/E14=0, "", E26/E14), "")</f>
        <v/>
      </c>
      <c r="F27" s="1423" t="str">
        <f>IFERROR(IF(F26/F14=0, "", F26/F14), "")</f>
        <v/>
      </c>
      <c r="G27" s="1423" t="str">
        <f>IFERROR(IF(G26/G14=0, "", G26/G14), "")</f>
        <v/>
      </c>
      <c r="H27" s="1423" t="str">
        <f t="shared" ref="H27:Q27" si="12">IFERROR(IF(H26/H14=0, "", H26/H14), "")</f>
        <v/>
      </c>
      <c r="I27" s="1423" t="str">
        <f t="shared" si="12"/>
        <v/>
      </c>
      <c r="J27" s="1423" t="str">
        <f t="shared" si="12"/>
        <v/>
      </c>
      <c r="K27" s="1423" t="str">
        <f t="shared" si="12"/>
        <v/>
      </c>
      <c r="L27" s="1423" t="str">
        <f t="shared" si="12"/>
        <v/>
      </c>
      <c r="M27" s="1423" t="str">
        <f t="shared" si="12"/>
        <v/>
      </c>
      <c r="N27" s="1423" t="str">
        <f t="shared" si="12"/>
        <v/>
      </c>
      <c r="O27" s="1423" t="str">
        <f t="shared" si="12"/>
        <v/>
      </c>
      <c r="P27" s="1423" t="str">
        <f t="shared" si="12"/>
        <v/>
      </c>
      <c r="Q27" s="1423" t="str">
        <f t="shared" si="12"/>
        <v/>
      </c>
      <c r="R27" s="48"/>
      <c r="S27" s="48"/>
      <c r="T27" s="48"/>
      <c r="U27" s="48"/>
      <c r="V27" s="48"/>
      <c r="W27" s="48"/>
      <c r="X27" s="48"/>
      <c r="Y27" s="48"/>
      <c r="Z27" s="48"/>
      <c r="AA27" s="48"/>
      <c r="AB27" s="48"/>
      <c r="AC27" s="48"/>
      <c r="AD27" s="48"/>
      <c r="AE27" s="48"/>
      <c r="AF27" s="48"/>
      <c r="AG27" s="48"/>
      <c r="AH27" s="48"/>
      <c r="AI27" s="1381" t="str">
        <f>実績表1!$D$16&amp;" "&amp;実績表1!$E$16&amp;" "&amp;実績表1!$F$16&amp;" "&amp;$AI$25</f>
        <v>令和  年度 燃料</v>
      </c>
      <c r="AJ27" s="1383">
        <f>実績表2!E60</f>
        <v>0</v>
      </c>
      <c r="AK27" s="1383">
        <f>実績表2!F60</f>
        <v>0</v>
      </c>
      <c r="AL27" s="1383">
        <f>実績表2!G60</f>
        <v>0</v>
      </c>
      <c r="AM27" s="1383">
        <f>実績表2!H60</f>
        <v>0</v>
      </c>
      <c r="AN27" s="1383">
        <f>実績表2!I60</f>
        <v>0</v>
      </c>
      <c r="AO27" s="1383">
        <f>実績表2!J60</f>
        <v>0</v>
      </c>
      <c r="AP27" s="1383">
        <f>実績表2!K60</f>
        <v>0</v>
      </c>
      <c r="AQ27" s="1383">
        <f>実績表2!L60</f>
        <v>0</v>
      </c>
      <c r="AR27" s="1383">
        <f>実績表2!M60</f>
        <v>0</v>
      </c>
      <c r="AS27" s="1383">
        <f>実績表2!N60</f>
        <v>0</v>
      </c>
      <c r="AT27" s="1383">
        <f>実績表2!O60</f>
        <v>0</v>
      </c>
      <c r="AU27" s="1383">
        <f>実績表2!P60</f>
        <v>0</v>
      </c>
    </row>
    <row r="28" spans="1:47" ht="1.5" customHeight="1">
      <c r="A28" s="48"/>
      <c r="B28" s="1559"/>
      <c r="C28" s="711" t="s">
        <v>935</v>
      </c>
      <c r="D28" s="712" t="s">
        <v>0</v>
      </c>
      <c r="E28" s="1427">
        <f>IFERROR(IF(E20="","",E20),"")</f>
        <v>0</v>
      </c>
      <c r="F28" s="1427">
        <f t="shared" ref="F28:P28" si="13">IFERROR(IF(F20="","",F20),"")</f>
        <v>0</v>
      </c>
      <c r="G28" s="1427">
        <f t="shared" si="13"/>
        <v>0</v>
      </c>
      <c r="H28" s="1427">
        <f t="shared" si="13"/>
        <v>0</v>
      </c>
      <c r="I28" s="1427">
        <f t="shared" si="13"/>
        <v>0</v>
      </c>
      <c r="J28" s="1427">
        <f t="shared" si="13"/>
        <v>0</v>
      </c>
      <c r="K28" s="1427">
        <f t="shared" si="13"/>
        <v>0</v>
      </c>
      <c r="L28" s="1427">
        <f t="shared" si="13"/>
        <v>0</v>
      </c>
      <c r="M28" s="1427">
        <f t="shared" si="13"/>
        <v>0</v>
      </c>
      <c r="N28" s="1427">
        <f t="shared" si="13"/>
        <v>0</v>
      </c>
      <c r="O28" s="1427">
        <f t="shared" si="13"/>
        <v>0</v>
      </c>
      <c r="P28" s="1427">
        <f t="shared" si="13"/>
        <v>0</v>
      </c>
      <c r="Q28" s="1428" t="str">
        <f t="shared" ref="Q28" si="14">IFERROR(IF(Q20="","",Q20),"")</f>
        <v/>
      </c>
      <c r="R28" s="48"/>
      <c r="S28" s="48"/>
      <c r="T28" s="48"/>
      <c r="U28" s="48"/>
      <c r="V28" s="48"/>
      <c r="W28" s="48"/>
      <c r="X28" s="48"/>
      <c r="Y28" s="48"/>
      <c r="Z28" s="48"/>
      <c r="AA28" s="48"/>
      <c r="AB28" s="48"/>
      <c r="AC28" s="48"/>
      <c r="AD28" s="48"/>
      <c r="AE28" s="48"/>
      <c r="AF28" s="48"/>
      <c r="AG28" s="48"/>
      <c r="AH28" s="48"/>
      <c r="AI28" s="1381" t="str">
        <f>実績表1!$G$16&amp;" "&amp;実績表1!$H$16&amp;" "&amp;実績表1!$I$16&amp;" "&amp;$AI$25</f>
        <v>令和  年度 燃料</v>
      </c>
      <c r="AJ28" s="1383">
        <f>実績表2!E78</f>
        <v>0</v>
      </c>
      <c r="AK28" s="1383">
        <f>実績表2!F78</f>
        <v>0</v>
      </c>
      <c r="AL28" s="1383">
        <f>実績表2!G78</f>
        <v>0</v>
      </c>
      <c r="AM28" s="1383">
        <f>実績表2!H78</f>
        <v>0</v>
      </c>
      <c r="AN28" s="1383">
        <f>実績表2!I78</f>
        <v>0</v>
      </c>
      <c r="AO28" s="1383">
        <f>実績表2!J78</f>
        <v>0</v>
      </c>
      <c r="AP28" s="1383">
        <f>実績表2!K78</f>
        <v>0</v>
      </c>
      <c r="AQ28" s="1383">
        <f>実績表2!L78</f>
        <v>0</v>
      </c>
      <c r="AR28" s="1383">
        <f>実績表2!M78</f>
        <v>0</v>
      </c>
      <c r="AS28" s="1383">
        <f>実績表2!N78</f>
        <v>0</v>
      </c>
      <c r="AT28" s="1383">
        <f>実績表2!O78</f>
        <v>0</v>
      </c>
      <c r="AU28" s="1383">
        <f>実績表2!P78</f>
        <v>0</v>
      </c>
    </row>
    <row r="29" spans="1:47" ht="1.5" customHeight="1">
      <c r="A29" s="48"/>
      <c r="B29" s="1559"/>
      <c r="C29" s="713"/>
      <c r="D29" s="714" t="s">
        <v>4</v>
      </c>
      <c r="E29" s="1429">
        <f>IFERROR(IF(E22="","",E22),"")</f>
        <v>0</v>
      </c>
      <c r="F29" s="1429">
        <f t="shared" ref="F29:P29" si="15">IFERROR(IF(F22="","",F22),"")</f>
        <v>0</v>
      </c>
      <c r="G29" s="1429">
        <f t="shared" si="15"/>
        <v>0</v>
      </c>
      <c r="H29" s="1429">
        <f t="shared" si="15"/>
        <v>0</v>
      </c>
      <c r="I29" s="1429">
        <f t="shared" si="15"/>
        <v>0</v>
      </c>
      <c r="J29" s="1429">
        <f t="shared" si="15"/>
        <v>0</v>
      </c>
      <c r="K29" s="1429">
        <f t="shared" si="15"/>
        <v>0</v>
      </c>
      <c r="L29" s="1429">
        <f t="shared" si="15"/>
        <v>0</v>
      </c>
      <c r="M29" s="1429">
        <f t="shared" si="15"/>
        <v>0</v>
      </c>
      <c r="N29" s="1429">
        <f t="shared" si="15"/>
        <v>0</v>
      </c>
      <c r="O29" s="1429">
        <f t="shared" si="15"/>
        <v>0</v>
      </c>
      <c r="P29" s="1429">
        <f t="shared" si="15"/>
        <v>0</v>
      </c>
      <c r="Q29" s="1430" t="str">
        <f t="shared" ref="Q29" si="16">IFERROR(IF(Q22="","",Q22),"")</f>
        <v/>
      </c>
      <c r="R29" s="48"/>
      <c r="S29" s="48"/>
      <c r="T29" s="48"/>
      <c r="U29" s="48"/>
      <c r="V29" s="48"/>
      <c r="W29" s="48"/>
      <c r="X29" s="48"/>
      <c r="Y29" s="48"/>
      <c r="Z29" s="48"/>
      <c r="AA29" s="48"/>
      <c r="AB29" s="48"/>
      <c r="AC29" s="48"/>
      <c r="AD29" s="48"/>
      <c r="AE29" s="48"/>
      <c r="AG29" s="48"/>
      <c r="AH29" s="48"/>
      <c r="AI29" s="1377"/>
      <c r="AJ29" s="1376"/>
      <c r="AK29" s="1376"/>
      <c r="AL29" s="1376"/>
      <c r="AM29" s="1376"/>
      <c r="AN29" s="1376"/>
      <c r="AO29" s="1376"/>
      <c r="AP29" s="1376"/>
      <c r="AQ29" s="1376"/>
      <c r="AR29" s="1376"/>
      <c r="AS29" s="1376"/>
      <c r="AT29" s="1376"/>
      <c r="AU29" s="1376"/>
    </row>
    <row r="30" spans="1:47" ht="1.5" customHeight="1">
      <c r="A30" s="48"/>
      <c r="B30" s="1559"/>
      <c r="C30" s="715"/>
      <c r="D30" s="716" t="s">
        <v>28</v>
      </c>
      <c r="E30" s="1431">
        <f>IFERROR(IF(E24="","",E24),"")</f>
        <v>0</v>
      </c>
      <c r="F30" s="1431">
        <f t="shared" ref="F30:P30" si="17">IFERROR(IF(F24="","",F24),"")</f>
        <v>0</v>
      </c>
      <c r="G30" s="1431">
        <f t="shared" si="17"/>
        <v>0</v>
      </c>
      <c r="H30" s="1431">
        <f t="shared" si="17"/>
        <v>0</v>
      </c>
      <c r="I30" s="1431">
        <f t="shared" si="17"/>
        <v>0</v>
      </c>
      <c r="J30" s="1431">
        <f t="shared" si="17"/>
        <v>0</v>
      </c>
      <c r="K30" s="1431">
        <f t="shared" si="17"/>
        <v>0</v>
      </c>
      <c r="L30" s="1431">
        <f t="shared" si="17"/>
        <v>0</v>
      </c>
      <c r="M30" s="1431">
        <f t="shared" si="17"/>
        <v>0</v>
      </c>
      <c r="N30" s="1431">
        <f t="shared" si="17"/>
        <v>0</v>
      </c>
      <c r="O30" s="1431">
        <f t="shared" si="17"/>
        <v>0</v>
      </c>
      <c r="P30" s="1431">
        <f t="shared" si="17"/>
        <v>0</v>
      </c>
      <c r="Q30" s="1432" t="str">
        <f t="shared" ref="Q30" si="18">IFERROR(IF(Q24="","",Q24),"")</f>
        <v/>
      </c>
      <c r="R30" s="48"/>
      <c r="S30" s="48"/>
      <c r="T30" s="48"/>
      <c r="U30" s="48"/>
      <c r="V30" s="48"/>
      <c r="W30" s="48"/>
      <c r="X30" s="48"/>
      <c r="Y30" s="48"/>
      <c r="Z30" s="48"/>
      <c r="AA30" s="48"/>
      <c r="AB30" s="48"/>
      <c r="AC30" s="48"/>
      <c r="AD30" s="48"/>
      <c r="AE30" s="48"/>
      <c r="AF30" s="48"/>
      <c r="AG30" s="48"/>
      <c r="AH30" s="48"/>
      <c r="AI30" s="1381" t="s">
        <v>835</v>
      </c>
      <c r="AJ30" s="1376"/>
      <c r="AK30" s="1376"/>
      <c r="AL30" s="1376"/>
      <c r="AM30" s="1376"/>
      <c r="AN30" s="1376"/>
      <c r="AO30" s="1376"/>
      <c r="AP30" s="1376"/>
      <c r="AQ30" s="1376"/>
      <c r="AR30" s="1376"/>
      <c r="AS30" s="1376"/>
      <c r="AT30" s="1376"/>
      <c r="AU30" s="1376"/>
    </row>
    <row r="31" spans="1:47" ht="24">
      <c r="A31" s="48"/>
      <c r="B31" s="1559"/>
      <c r="C31" s="709" t="s">
        <v>778</v>
      </c>
      <c r="D31" s="718" t="s">
        <v>782</v>
      </c>
      <c r="E31" s="1433" t="str">
        <f>IFERROR(IF(E22+E24=0, "", E22+E24), "")</f>
        <v/>
      </c>
      <c r="F31" s="1433" t="str">
        <f t="shared" ref="F31:P31" si="19">IFERROR(IF(F22+F24=0, "", F22+F24), "")</f>
        <v/>
      </c>
      <c r="G31" s="1433" t="str">
        <f t="shared" si="19"/>
        <v/>
      </c>
      <c r="H31" s="1433" t="str">
        <f t="shared" si="19"/>
        <v/>
      </c>
      <c r="I31" s="1433" t="str">
        <f t="shared" si="19"/>
        <v/>
      </c>
      <c r="J31" s="1433" t="str">
        <f t="shared" si="19"/>
        <v/>
      </c>
      <c r="K31" s="1433" t="str">
        <f t="shared" si="19"/>
        <v/>
      </c>
      <c r="L31" s="1433" t="str">
        <f t="shared" si="19"/>
        <v/>
      </c>
      <c r="M31" s="1433" t="str">
        <f t="shared" si="19"/>
        <v/>
      </c>
      <c r="N31" s="1433" t="str">
        <f t="shared" si="19"/>
        <v/>
      </c>
      <c r="O31" s="1433" t="str">
        <f t="shared" si="19"/>
        <v/>
      </c>
      <c r="P31" s="1433" t="str">
        <f t="shared" si="19"/>
        <v/>
      </c>
      <c r="Q31" s="1421">
        <f>SUM(E31:P31)</f>
        <v>0</v>
      </c>
      <c r="R31" s="48"/>
      <c r="S31" s="48"/>
      <c r="T31" s="48"/>
      <c r="U31" s="48"/>
      <c r="V31" s="48"/>
      <c r="W31" s="48"/>
      <c r="X31" s="48"/>
      <c r="Y31" s="48"/>
      <c r="Z31" s="48"/>
      <c r="AA31" s="48"/>
      <c r="AB31" s="48"/>
      <c r="AC31" s="48"/>
      <c r="AD31" s="48"/>
      <c r="AE31" s="48"/>
      <c r="AF31" s="48"/>
      <c r="AG31" s="48"/>
      <c r="AH31" s="48"/>
      <c r="AI31" s="1381"/>
      <c r="AJ31" s="1382">
        <f>実績表2!$E$11</f>
        <v>4</v>
      </c>
      <c r="AK31" s="1382">
        <f>MOD(AJ31, 12) + 1</f>
        <v>5</v>
      </c>
      <c r="AL31" s="1382">
        <f t="shared" ref="AL31:AU31" si="20">MOD(AK31, 12) + 1</f>
        <v>6</v>
      </c>
      <c r="AM31" s="1382">
        <f t="shared" si="20"/>
        <v>7</v>
      </c>
      <c r="AN31" s="1382">
        <f t="shared" si="20"/>
        <v>8</v>
      </c>
      <c r="AO31" s="1382">
        <f t="shared" si="20"/>
        <v>9</v>
      </c>
      <c r="AP31" s="1382">
        <f t="shared" si="20"/>
        <v>10</v>
      </c>
      <c r="AQ31" s="1382">
        <f t="shared" si="20"/>
        <v>11</v>
      </c>
      <c r="AR31" s="1382">
        <f t="shared" si="20"/>
        <v>12</v>
      </c>
      <c r="AS31" s="1382">
        <f t="shared" si="20"/>
        <v>1</v>
      </c>
      <c r="AT31" s="1382">
        <f t="shared" si="20"/>
        <v>2</v>
      </c>
      <c r="AU31" s="1382">
        <f t="shared" si="20"/>
        <v>3</v>
      </c>
    </row>
    <row r="32" spans="1:47" ht="24">
      <c r="A32" s="48"/>
      <c r="B32" s="1560"/>
      <c r="C32" s="710"/>
      <c r="D32" s="718" t="s">
        <v>783</v>
      </c>
      <c r="E32" s="1433">
        <f>IFERROR(IF(E20="","",E20),"")</f>
        <v>0</v>
      </c>
      <c r="F32" s="1433">
        <f t="shared" ref="F32:P32" si="21">IFERROR(IF(F20="","",F20),"")</f>
        <v>0</v>
      </c>
      <c r="G32" s="1433">
        <f t="shared" si="21"/>
        <v>0</v>
      </c>
      <c r="H32" s="1433">
        <f t="shared" si="21"/>
        <v>0</v>
      </c>
      <c r="I32" s="1433">
        <f t="shared" si="21"/>
        <v>0</v>
      </c>
      <c r="J32" s="1433">
        <f t="shared" si="21"/>
        <v>0</v>
      </c>
      <c r="K32" s="1433">
        <f t="shared" si="21"/>
        <v>0</v>
      </c>
      <c r="L32" s="1433">
        <f t="shared" si="21"/>
        <v>0</v>
      </c>
      <c r="M32" s="1433">
        <f t="shared" si="21"/>
        <v>0</v>
      </c>
      <c r="N32" s="1433">
        <f t="shared" si="21"/>
        <v>0</v>
      </c>
      <c r="O32" s="1433">
        <f t="shared" si="21"/>
        <v>0</v>
      </c>
      <c r="P32" s="1433">
        <f t="shared" si="21"/>
        <v>0</v>
      </c>
      <c r="Q32" s="1421">
        <f>SUM(E32:P32)</f>
        <v>0</v>
      </c>
      <c r="R32" s="48"/>
      <c r="S32" s="48"/>
      <c r="T32" s="48"/>
      <c r="U32" s="48"/>
      <c r="V32" s="48"/>
      <c r="W32" s="48"/>
      <c r="X32" s="48"/>
      <c r="Y32" s="48"/>
      <c r="Z32" s="48"/>
      <c r="AA32" s="48"/>
      <c r="AB32" s="48"/>
      <c r="AC32" s="48"/>
      <c r="AD32" s="48"/>
      <c r="AE32" s="48"/>
      <c r="AF32" s="48"/>
      <c r="AG32" s="48"/>
      <c r="AH32" s="48"/>
      <c r="AI32" s="1381" t="str">
        <f>実績表1!$D$16&amp;" "&amp;実績表1!$E$16&amp;" "&amp;実績表1!$F$16&amp;" "&amp;$AI$30</f>
        <v>令和  年度 自動車燃料</v>
      </c>
      <c r="AJ32" s="1383">
        <f>実績表2!E63</f>
        <v>0</v>
      </c>
      <c r="AK32" s="1383">
        <f>実績表2!F63</f>
        <v>0</v>
      </c>
      <c r="AL32" s="1383">
        <f>実績表2!G63</f>
        <v>0</v>
      </c>
      <c r="AM32" s="1383">
        <f>実績表2!H63</f>
        <v>0</v>
      </c>
      <c r="AN32" s="1383">
        <f>実績表2!I63</f>
        <v>0</v>
      </c>
      <c r="AO32" s="1383">
        <f>実績表2!J63</f>
        <v>0</v>
      </c>
      <c r="AP32" s="1383">
        <f>実績表2!K63</f>
        <v>0</v>
      </c>
      <c r="AQ32" s="1383">
        <f>実績表2!L63</f>
        <v>0</v>
      </c>
      <c r="AR32" s="1383">
        <f>実績表2!M63</f>
        <v>0</v>
      </c>
      <c r="AS32" s="1383">
        <f>実績表2!N63</f>
        <v>0</v>
      </c>
      <c r="AT32" s="1383">
        <f>実績表2!O63</f>
        <v>0</v>
      </c>
      <c r="AU32" s="1383">
        <f>実績表2!P63</f>
        <v>0</v>
      </c>
    </row>
    <row r="33" spans="1:47">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1381" t="str">
        <f>実績表1!$G$16&amp;" "&amp;実績表1!$H$16&amp;" "&amp;実績表1!$I$16&amp;" "&amp;$AI$30</f>
        <v>令和  年度 自動車燃料</v>
      </c>
      <c r="AJ33" s="1383">
        <f>実績表2!E84</f>
        <v>0</v>
      </c>
      <c r="AK33" s="1383">
        <f>実績表2!F84</f>
        <v>0</v>
      </c>
      <c r="AL33" s="1383">
        <f>実績表2!G84</f>
        <v>0</v>
      </c>
      <c r="AM33" s="1383">
        <f>実績表2!H84</f>
        <v>0</v>
      </c>
      <c r="AN33" s="1383">
        <f>実績表2!I84</f>
        <v>0</v>
      </c>
      <c r="AO33" s="1383">
        <f>実績表2!J84</f>
        <v>0</v>
      </c>
      <c r="AP33" s="1383">
        <f>実績表2!K84</f>
        <v>0</v>
      </c>
      <c r="AQ33" s="1383">
        <f>実績表2!L84</f>
        <v>0</v>
      </c>
      <c r="AR33" s="1383">
        <f>実績表2!M84</f>
        <v>0</v>
      </c>
      <c r="AS33" s="1383">
        <f>実績表2!N84</f>
        <v>0</v>
      </c>
      <c r="AT33" s="1383">
        <f>実績表2!O84</f>
        <v>0</v>
      </c>
      <c r="AU33" s="1383">
        <f>実績表2!P84</f>
        <v>0</v>
      </c>
    </row>
    <row r="34" spans="1:47" ht="18" customHeight="1">
      <c r="A34" s="48"/>
      <c r="C34" s="565"/>
      <c r="D34" s="565"/>
      <c r="E34" s="565"/>
      <c r="F34" s="565"/>
      <c r="G34" s="565"/>
      <c r="H34" s="565"/>
      <c r="I34" s="565"/>
      <c r="J34" s="565"/>
      <c r="K34" s="565"/>
      <c r="L34" s="565"/>
      <c r="M34" s="565"/>
      <c r="N34" s="565"/>
      <c r="O34" s="565"/>
      <c r="P34" s="565"/>
      <c r="Q34" s="565"/>
      <c r="R34" s="48"/>
      <c r="S34" s="48"/>
      <c r="T34" s="48"/>
      <c r="U34" s="48"/>
      <c r="V34" s="48"/>
      <c r="W34" s="48"/>
      <c r="X34" s="48"/>
      <c r="Y34" s="48"/>
      <c r="Z34" s="48"/>
      <c r="AA34" s="48"/>
      <c r="AB34" s="48"/>
      <c r="AC34" s="48"/>
      <c r="AD34" s="48"/>
      <c r="AE34" s="48"/>
      <c r="AF34" s="48"/>
      <c r="AG34" s="48"/>
      <c r="AH34" s="48"/>
      <c r="AI34" s="1376"/>
      <c r="AJ34" s="1376"/>
      <c r="AK34" s="1376"/>
      <c r="AL34" s="1376"/>
      <c r="AM34" s="1376"/>
      <c r="AN34" s="1376"/>
      <c r="AO34" s="1376"/>
      <c r="AP34" s="1376"/>
      <c r="AQ34" s="1376"/>
      <c r="AR34" s="1376"/>
      <c r="AS34" s="1376"/>
      <c r="AT34" s="1376"/>
      <c r="AU34" s="1376"/>
    </row>
    <row r="35" spans="1:47" ht="18" customHeight="1">
      <c r="A35" s="48"/>
      <c r="B35" s="1568" t="str">
        <f>実績表1!$G$16&amp;" "&amp;実績表1!$H$16&amp;" "&amp;実績表1!$I$16</f>
        <v>令和  年度</v>
      </c>
      <c r="C35" s="1568"/>
      <c r="D35" s="1568"/>
      <c r="E35" s="1568"/>
      <c r="F35" s="1568"/>
      <c r="G35" s="1568"/>
      <c r="H35" s="1568"/>
      <c r="I35" s="594"/>
      <c r="J35" s="565"/>
      <c r="K35" s="565"/>
      <c r="L35" s="565"/>
      <c r="M35" s="565"/>
      <c r="N35" s="565"/>
      <c r="O35" s="565"/>
      <c r="P35" s="565"/>
      <c r="Q35" s="565"/>
      <c r="R35" s="48"/>
      <c r="S35" s="48"/>
      <c r="T35" s="48"/>
      <c r="U35" s="48"/>
      <c r="V35" s="48"/>
      <c r="W35" s="48"/>
      <c r="X35" s="48"/>
      <c r="Y35" s="48"/>
      <c r="Z35" s="48"/>
      <c r="AA35" s="48"/>
      <c r="AB35" s="48"/>
      <c r="AC35" s="48"/>
      <c r="AD35" s="48"/>
      <c r="AE35" s="48"/>
      <c r="AF35" s="48"/>
      <c r="AG35" s="48"/>
      <c r="AH35" s="48"/>
      <c r="AI35" s="1376"/>
      <c r="AJ35" s="1376"/>
      <c r="AK35" s="1376"/>
      <c r="AL35" s="1376"/>
      <c r="AM35" s="1376"/>
      <c r="AN35" s="1376"/>
      <c r="AO35" s="1376"/>
      <c r="AP35" s="1376"/>
      <c r="AQ35" s="1376"/>
      <c r="AR35" s="1376"/>
      <c r="AS35" s="1376"/>
      <c r="AT35" s="1376"/>
      <c r="AU35" s="1376"/>
    </row>
    <row r="36" spans="1:47" ht="18" customHeight="1">
      <c r="A36" s="48"/>
      <c r="B36" s="1568"/>
      <c r="C36" s="1568"/>
      <c r="D36" s="1568"/>
      <c r="E36" s="1568"/>
      <c r="F36" s="1568"/>
      <c r="G36" s="1568"/>
      <c r="H36" s="1568"/>
      <c r="I36" s="594"/>
      <c r="J36" s="566"/>
      <c r="K36" s="566"/>
      <c r="L36" s="566"/>
      <c r="M36" s="566"/>
      <c r="N36" s="566"/>
      <c r="O36" s="566"/>
      <c r="P36" s="566"/>
      <c r="Q36" s="566"/>
      <c r="R36" s="48"/>
      <c r="S36" s="48"/>
      <c r="T36" s="48"/>
      <c r="U36" s="48"/>
      <c r="V36" s="48"/>
      <c r="W36" s="48"/>
      <c r="X36" s="48"/>
      <c r="Y36" s="48"/>
      <c r="Z36" s="48"/>
      <c r="AA36" s="48"/>
      <c r="AB36" s="48"/>
      <c r="AC36" s="48"/>
      <c r="AD36" s="48"/>
      <c r="AE36" s="48"/>
      <c r="AF36" s="48"/>
      <c r="AG36" s="48"/>
      <c r="AH36" s="48"/>
      <c r="AI36" s="1376"/>
      <c r="AJ36" s="1376"/>
      <c r="AK36" s="1376"/>
      <c r="AL36" s="1376"/>
      <c r="AM36" s="1376"/>
      <c r="AN36" s="1376"/>
      <c r="AO36" s="1376"/>
      <c r="AP36" s="1376"/>
      <c r="AQ36" s="1376"/>
      <c r="AR36" s="1376"/>
      <c r="AS36" s="1376"/>
      <c r="AT36" s="1376"/>
      <c r="AU36" s="1376"/>
    </row>
    <row r="37" spans="1:47">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1377" t="str">
        <f>B11</f>
        <v>令和  年度</v>
      </c>
      <c r="AJ37" s="1377" t="s">
        <v>79</v>
      </c>
      <c r="AK37" s="1376"/>
      <c r="AL37" s="1376"/>
      <c r="AM37" s="1376"/>
      <c r="AN37" s="1376"/>
      <c r="AO37" s="1376"/>
      <c r="AP37" s="1376"/>
      <c r="AQ37" s="1376"/>
      <c r="AR37" s="1376"/>
      <c r="AS37" s="1376"/>
      <c r="AT37" s="1376"/>
      <c r="AU37" s="1376"/>
    </row>
    <row r="38" spans="1:47">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1377" t="s">
        <v>0</v>
      </c>
      <c r="AJ38" s="1384">
        <f>実績表2!$Q$55</f>
        <v>0</v>
      </c>
      <c r="AK38" s="1376"/>
      <c r="AL38" s="1376"/>
      <c r="AM38" s="1376"/>
      <c r="AN38" s="1376"/>
      <c r="AO38" s="1376"/>
      <c r="AP38" s="1376"/>
      <c r="AQ38" s="1376"/>
      <c r="AR38" s="1376"/>
      <c r="AS38" s="1376"/>
      <c r="AT38" s="1376"/>
      <c r="AU38" s="1376"/>
    </row>
    <row r="39" spans="1:47">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1377" t="s">
        <v>4</v>
      </c>
      <c r="AJ39" s="1384">
        <f>実績表2!$Q$60</f>
        <v>0</v>
      </c>
      <c r="AK39" s="1376"/>
      <c r="AL39" s="1376"/>
      <c r="AM39" s="1376"/>
      <c r="AN39" s="1376"/>
      <c r="AO39" s="1376"/>
      <c r="AP39" s="1376"/>
      <c r="AQ39" s="1376"/>
      <c r="AR39" s="1376"/>
      <c r="AS39" s="1376"/>
      <c r="AT39" s="1376"/>
      <c r="AU39" s="1376"/>
    </row>
    <row r="40" spans="1:47">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1377" t="s">
        <v>28</v>
      </c>
      <c r="AJ40" s="1384">
        <f>実績表2!$Q$63</f>
        <v>0</v>
      </c>
      <c r="AK40" s="1376"/>
      <c r="AL40" s="1376"/>
      <c r="AM40" s="1376"/>
      <c r="AN40" s="1376"/>
      <c r="AO40" s="1376"/>
      <c r="AP40" s="1376"/>
      <c r="AQ40" s="1376"/>
      <c r="AR40" s="1376"/>
      <c r="AS40" s="1376"/>
      <c r="AT40" s="1376"/>
      <c r="AU40" s="1376"/>
    </row>
    <row r="41" spans="1:47">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1376"/>
      <c r="AJ41" s="1376"/>
      <c r="AK41" s="1376"/>
      <c r="AL41" s="1376"/>
      <c r="AM41" s="1376"/>
      <c r="AN41" s="1376"/>
      <c r="AO41" s="1376"/>
      <c r="AP41" s="1376"/>
      <c r="AQ41" s="1376"/>
      <c r="AR41" s="1376"/>
      <c r="AS41" s="1376"/>
      <c r="AT41" s="1376"/>
      <c r="AU41" s="1376"/>
    </row>
    <row r="42" spans="1:47">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1377" t="str">
        <f>B20</f>
        <v>令和  年度</v>
      </c>
      <c r="AJ42" s="1377" t="s">
        <v>79</v>
      </c>
      <c r="AK42" s="1376"/>
      <c r="AL42" s="1376"/>
      <c r="AM42" s="1376"/>
      <c r="AN42" s="1376"/>
      <c r="AO42" s="1376"/>
      <c r="AP42" s="1376"/>
      <c r="AQ42" s="1376"/>
      <c r="AR42" s="1376"/>
      <c r="AS42" s="1376"/>
      <c r="AT42" s="1376"/>
      <c r="AU42" s="1376"/>
    </row>
    <row r="43" spans="1:47">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1377" t="s">
        <v>0</v>
      </c>
      <c r="AJ43" s="1384">
        <f>実績表2!$Q$68</f>
        <v>0</v>
      </c>
      <c r="AK43" s="1376"/>
      <c r="AL43" s="1376"/>
      <c r="AM43" s="1376"/>
      <c r="AN43" s="1376"/>
      <c r="AO43" s="1376"/>
      <c r="AP43" s="1376"/>
      <c r="AQ43" s="1376"/>
      <c r="AR43" s="1376"/>
      <c r="AS43" s="1376"/>
      <c r="AT43" s="1376"/>
      <c r="AU43" s="1376"/>
    </row>
    <row r="44" spans="1:47">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E44" s="48"/>
      <c r="AF44" s="48"/>
      <c r="AG44" s="48"/>
      <c r="AH44" s="48"/>
      <c r="AI44" s="1377" t="s">
        <v>4</v>
      </c>
      <c r="AJ44" s="1384">
        <f>実績表2!$Q$78</f>
        <v>0</v>
      </c>
      <c r="AK44" s="1376"/>
      <c r="AL44" s="1376"/>
      <c r="AM44" s="1376"/>
      <c r="AN44" s="1376"/>
      <c r="AO44" s="1376"/>
      <c r="AP44" s="1376"/>
      <c r="AQ44" s="1376"/>
      <c r="AR44" s="1376"/>
      <c r="AS44" s="1376"/>
      <c r="AT44" s="1376"/>
      <c r="AU44" s="1376"/>
    </row>
    <row r="45" spans="1:47">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1377" t="s">
        <v>28</v>
      </c>
      <c r="AJ45" s="1384">
        <f>実績表2!$Q$84</f>
        <v>0</v>
      </c>
      <c r="AK45" s="1376"/>
      <c r="AL45" s="1376"/>
      <c r="AM45" s="1376"/>
      <c r="AN45" s="1376"/>
      <c r="AO45" s="1376"/>
      <c r="AP45" s="1376"/>
      <c r="AQ45" s="1376"/>
      <c r="AR45" s="1376"/>
      <c r="AS45" s="1376"/>
      <c r="AT45" s="1376"/>
      <c r="AU45" s="1376"/>
    </row>
    <row r="46" spans="1:47">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1376"/>
      <c r="AJ46" s="1376"/>
      <c r="AK46" s="1376"/>
      <c r="AL46" s="1376"/>
      <c r="AM46" s="1376"/>
      <c r="AN46" s="1376"/>
      <c r="AO46" s="1376"/>
      <c r="AP46" s="1376"/>
      <c r="AQ46" s="1376"/>
      <c r="AR46" s="1376"/>
      <c r="AS46" s="1376"/>
      <c r="AT46" s="1376"/>
      <c r="AU46" s="1376"/>
    </row>
    <row r="47" spans="1:47">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1376"/>
      <c r="AJ47" s="1376"/>
      <c r="AK47" s="1376"/>
      <c r="AL47" s="1377" t="s">
        <v>827</v>
      </c>
      <c r="AM47" s="1377"/>
      <c r="AN47" s="1376"/>
      <c r="AO47" s="1376"/>
      <c r="AP47" s="1376"/>
      <c r="AQ47" s="1376"/>
      <c r="AR47" s="1376"/>
      <c r="AS47" s="1376"/>
      <c r="AT47" s="1376"/>
      <c r="AU47" s="1376"/>
    </row>
    <row r="48" spans="1:47">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1376"/>
      <c r="AJ48" s="1376"/>
      <c r="AK48" s="1376"/>
      <c r="AL48" s="1377" t="s">
        <v>779</v>
      </c>
      <c r="AM48" s="1377"/>
      <c r="AN48" s="1376"/>
      <c r="AO48" s="1376"/>
      <c r="AP48" s="1376"/>
      <c r="AQ48" s="1376"/>
      <c r="AR48" s="1376"/>
      <c r="AS48" s="1376"/>
      <c r="AT48" s="1376"/>
      <c r="AU48" s="1376"/>
    </row>
    <row r="49" spans="1:47">
      <c r="A49" s="48"/>
      <c r="B49" s="567"/>
      <c r="C49" s="567"/>
      <c r="D49" s="567"/>
      <c r="E49" s="567"/>
      <c r="F49" s="567"/>
      <c r="G49" s="567"/>
      <c r="H49" s="567"/>
      <c r="I49" s="567"/>
      <c r="J49" s="567"/>
      <c r="K49" s="567"/>
      <c r="L49" s="567"/>
      <c r="M49" s="567"/>
      <c r="N49" s="567"/>
      <c r="O49" s="567"/>
      <c r="P49" s="567"/>
      <c r="Q49" s="567"/>
      <c r="R49" s="48"/>
      <c r="S49" s="48"/>
      <c r="T49" s="48"/>
      <c r="U49" s="48"/>
      <c r="V49" s="48"/>
      <c r="W49" s="48"/>
      <c r="X49" s="48"/>
      <c r="Y49" s="48"/>
      <c r="Z49" s="48"/>
      <c r="AA49" s="48"/>
      <c r="AB49" s="48"/>
      <c r="AC49" s="48"/>
      <c r="AD49" s="48"/>
      <c r="AE49" s="48"/>
      <c r="AF49" s="48"/>
      <c r="AG49" s="48"/>
      <c r="AH49" s="48"/>
      <c r="AI49" s="1377" t="str">
        <f>B11</f>
        <v>令和  年度</v>
      </c>
      <c r="AJ49" s="1377" t="s">
        <v>79</v>
      </c>
      <c r="AK49" s="1376"/>
      <c r="AL49" s="1377" t="s">
        <v>780</v>
      </c>
      <c r="AM49" s="1384">
        <f>AJ38</f>
        <v>0</v>
      </c>
      <c r="AN49" s="1376"/>
      <c r="AO49" s="1376"/>
      <c r="AP49" s="1376"/>
      <c r="AQ49" s="1376"/>
      <c r="AR49" s="1376"/>
      <c r="AS49" s="1376"/>
      <c r="AT49" s="1376"/>
      <c r="AU49" s="1376"/>
    </row>
    <row r="50" spans="1:47">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1377" t="s">
        <v>80</v>
      </c>
      <c r="AJ50" s="1384">
        <f>AJ39+AJ40</f>
        <v>0</v>
      </c>
      <c r="AK50" s="1376"/>
      <c r="AL50" s="1377" t="s">
        <v>4</v>
      </c>
      <c r="AM50" s="1384">
        <f>AJ39</f>
        <v>0</v>
      </c>
      <c r="AN50" s="1376"/>
      <c r="AO50" s="1376"/>
      <c r="AP50" s="1376"/>
      <c r="AQ50" s="1376"/>
      <c r="AR50" s="1376"/>
      <c r="AS50" s="1376"/>
      <c r="AT50" s="1376"/>
      <c r="AU50" s="1376"/>
    </row>
    <row r="51" spans="1:47">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1377" t="s">
        <v>81</v>
      </c>
      <c r="AJ51" s="1384">
        <f>AJ38</f>
        <v>0</v>
      </c>
      <c r="AK51" s="1376"/>
      <c r="AL51" s="1377" t="s">
        <v>28</v>
      </c>
      <c r="AM51" s="1384">
        <f>AJ40</f>
        <v>0</v>
      </c>
      <c r="AN51" s="1376"/>
      <c r="AO51" s="1376"/>
      <c r="AP51" s="1376"/>
      <c r="AQ51" s="1376"/>
      <c r="AR51" s="1376"/>
      <c r="AS51" s="1376"/>
      <c r="AT51" s="1376"/>
      <c r="AU51" s="1376"/>
    </row>
    <row r="52" spans="1:47">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1376"/>
      <c r="AJ52" s="1376"/>
      <c r="AK52" s="1376"/>
      <c r="AL52" s="1376"/>
      <c r="AM52" s="1376"/>
      <c r="AN52" s="1376"/>
      <c r="AO52" s="1376"/>
      <c r="AP52" s="1376"/>
      <c r="AQ52" s="1376"/>
      <c r="AR52" s="1376"/>
      <c r="AS52" s="1376"/>
      <c r="AT52" s="1376"/>
      <c r="AU52" s="1376"/>
    </row>
    <row r="53" spans="1:47">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1376"/>
      <c r="AJ53" s="1376"/>
      <c r="AK53" s="1376"/>
      <c r="AL53" s="1377" t="s">
        <v>826</v>
      </c>
      <c r="AM53" s="1377"/>
      <c r="AN53" s="1376"/>
      <c r="AO53" s="1376"/>
      <c r="AP53" s="1376"/>
      <c r="AQ53" s="1376"/>
      <c r="AR53" s="1376"/>
      <c r="AS53" s="1376"/>
      <c r="AT53" s="1376"/>
      <c r="AU53" s="1376"/>
    </row>
    <row r="54" spans="1:47">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1376"/>
      <c r="AJ54" s="1376"/>
      <c r="AK54" s="1376"/>
      <c r="AL54" s="1377" t="s">
        <v>830</v>
      </c>
      <c r="AM54" s="1377"/>
      <c r="AN54" s="1376"/>
      <c r="AO54" s="1376"/>
      <c r="AP54" s="1376"/>
      <c r="AQ54" s="1376"/>
      <c r="AR54" s="1376"/>
      <c r="AS54" s="1376"/>
      <c r="AT54" s="1376"/>
      <c r="AU54" s="1376"/>
    </row>
    <row r="55" spans="1:47">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1377" t="str">
        <f>B20</f>
        <v>令和  年度</v>
      </c>
      <c r="AJ55" s="1377" t="s">
        <v>79</v>
      </c>
      <c r="AK55" s="1376"/>
      <c r="AL55" s="1377" t="s">
        <v>831</v>
      </c>
      <c r="AM55" s="1384">
        <f>AJ43</f>
        <v>0</v>
      </c>
      <c r="AN55" s="1376"/>
      <c r="AO55" s="1377" t="s">
        <v>832</v>
      </c>
      <c r="AP55" s="1385">
        <f>AJ44</f>
        <v>0</v>
      </c>
      <c r="AQ55" s="1386" t="e">
        <f>AP55/SUM($AP$55:$AP$57)</f>
        <v>#DIV/0!</v>
      </c>
      <c r="AR55" s="1386" t="e">
        <f>AP55/SUM($AP$55:$AP$56)</f>
        <v>#DIV/0!</v>
      </c>
      <c r="AS55" s="1376"/>
      <c r="AT55" s="1376"/>
      <c r="AU55" s="1376"/>
    </row>
    <row r="56" spans="1:47">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1377" t="s">
        <v>80</v>
      </c>
      <c r="AJ56" s="1384">
        <f>AJ44+AJ45</f>
        <v>0</v>
      </c>
      <c r="AK56" s="1376"/>
      <c r="AL56" s="1377" t="s">
        <v>832</v>
      </c>
      <c r="AM56" s="1384">
        <f>AJ44</f>
        <v>0</v>
      </c>
      <c r="AN56" s="1376"/>
      <c r="AO56" s="1377" t="s">
        <v>833</v>
      </c>
      <c r="AP56" s="1385">
        <f>AJ45</f>
        <v>0</v>
      </c>
      <c r="AQ56" s="1386" t="e">
        <f>AP56/SUM($AP$55:$AP$57)</f>
        <v>#DIV/0!</v>
      </c>
      <c r="AR56" s="1386" t="e">
        <f>AP56/SUM($AP$55:$AP$56)</f>
        <v>#DIV/0!</v>
      </c>
      <c r="AS56" s="1376"/>
      <c r="AT56" s="1376"/>
      <c r="AU56" s="1376"/>
    </row>
    <row r="57" spans="1:47">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1377" t="s">
        <v>81</v>
      </c>
      <c r="AJ57" s="1384">
        <f>AJ43</f>
        <v>0</v>
      </c>
      <c r="AK57" s="1376"/>
      <c r="AL57" s="1377" t="s">
        <v>833</v>
      </c>
      <c r="AM57" s="1384">
        <f>AJ45</f>
        <v>0</v>
      </c>
      <c r="AN57" s="1376"/>
      <c r="AO57" s="1377" t="s">
        <v>831</v>
      </c>
      <c r="AP57" s="1385">
        <f>AJ43</f>
        <v>0</v>
      </c>
      <c r="AQ57" s="1386" t="e">
        <f t="shared" ref="AQ57" si="22">AP57/SUM($AP$55:$AP$57)</f>
        <v>#DIV/0!</v>
      </c>
      <c r="AR57" s="1386"/>
      <c r="AS57" s="1376"/>
      <c r="AT57" s="1376"/>
      <c r="AU57" s="1376"/>
    </row>
    <row r="58" spans="1:47">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1376"/>
      <c r="AJ58" s="1376"/>
      <c r="AK58" s="1376"/>
      <c r="AL58" s="1376"/>
      <c r="AM58" s="1377"/>
      <c r="AN58" s="1376"/>
      <c r="AO58" s="1376"/>
      <c r="AP58" s="1376"/>
      <c r="AQ58" s="1376"/>
      <c r="AR58" s="1376"/>
      <c r="AS58" s="1376"/>
      <c r="AT58" s="1376"/>
      <c r="AU58" s="1376"/>
    </row>
    <row r="59" spans="1:47">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1376"/>
      <c r="AJ59" s="1376"/>
      <c r="AK59" s="1376"/>
      <c r="AL59" s="1376"/>
      <c r="AM59" s="1377"/>
      <c r="AN59" s="1376"/>
      <c r="AO59" s="1376"/>
      <c r="AP59" s="1376"/>
      <c r="AQ59" s="1376"/>
      <c r="AR59" s="1376"/>
      <c r="AS59" s="1376"/>
      <c r="AT59" s="1376"/>
      <c r="AU59" s="1376"/>
    </row>
    <row r="60" spans="1:47">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1376"/>
      <c r="AJ60" s="1376"/>
      <c r="AK60" s="1376"/>
      <c r="AL60" s="1376"/>
      <c r="AM60" s="1377"/>
      <c r="AN60" s="1376"/>
      <c r="AO60" s="1376"/>
      <c r="AP60" s="1376"/>
      <c r="AQ60" s="1376"/>
      <c r="AR60" s="1376"/>
      <c r="AS60" s="1376"/>
      <c r="AT60" s="1376"/>
      <c r="AU60" s="1376"/>
    </row>
    <row r="61" spans="1:47">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1376"/>
      <c r="AJ61" s="1376"/>
      <c r="AK61" s="1376"/>
      <c r="AL61" s="1376"/>
      <c r="AM61" s="1377"/>
      <c r="AN61" s="1376"/>
      <c r="AO61" s="1376"/>
      <c r="AP61" s="1376"/>
      <c r="AQ61" s="1376"/>
      <c r="AR61" s="1376"/>
      <c r="AS61" s="1376"/>
      <c r="AT61" s="1376"/>
      <c r="AU61" s="1376"/>
    </row>
    <row r="62" spans="1:47">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1376"/>
      <c r="AJ62" s="1376"/>
      <c r="AK62" s="1376"/>
      <c r="AL62" s="1376"/>
      <c r="AM62" s="1377"/>
      <c r="AN62" s="1376"/>
      <c r="AO62" s="1376"/>
      <c r="AP62" s="1376"/>
      <c r="AQ62" s="1376"/>
      <c r="AR62" s="1376"/>
      <c r="AS62" s="1376"/>
      <c r="AT62" s="1376"/>
      <c r="AU62" s="1376"/>
    </row>
    <row r="63" spans="1:47">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587" t="s">
        <v>803</v>
      </c>
      <c r="AG63" s="48"/>
      <c r="AH63" s="48"/>
      <c r="AI63" s="1376"/>
      <c r="AJ63" s="1376"/>
      <c r="AK63" s="1376"/>
      <c r="AL63" s="1376"/>
      <c r="AM63" s="1376"/>
      <c r="AN63" s="1376"/>
      <c r="AO63" s="1376"/>
      <c r="AP63" s="1376"/>
      <c r="AQ63" s="1376"/>
      <c r="AR63" s="1376"/>
      <c r="AS63" s="1376"/>
      <c r="AT63" s="1376"/>
      <c r="AU63" s="1376"/>
    </row>
    <row r="64" spans="1:47">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567"/>
      <c r="AG64" s="48"/>
      <c r="AH64" s="48"/>
      <c r="AI64" s="1376"/>
      <c r="AJ64" s="1376"/>
      <c r="AK64" s="1376"/>
      <c r="AL64" s="1376"/>
      <c r="AM64" s="1376"/>
      <c r="AN64" s="1376"/>
      <c r="AO64" s="1376"/>
      <c r="AP64" s="1376"/>
      <c r="AQ64" s="1376"/>
      <c r="AR64" s="1376"/>
      <c r="AS64" s="1376"/>
      <c r="AT64" s="1376"/>
      <c r="AU64" s="1376"/>
    </row>
    <row r="65" spans="1:47" s="1" customFormat="1">
      <c r="A65" s="48"/>
      <c r="B65" s="48"/>
      <c r="C65" s="48"/>
      <c r="D65" s="48"/>
      <c r="E65" s="48"/>
      <c r="F65" s="48"/>
      <c r="G65" s="48"/>
      <c r="H65" s="48"/>
      <c r="I65" s="48"/>
      <c r="J65" s="48"/>
      <c r="K65" s="48"/>
      <c r="L65" s="48"/>
      <c r="M65" s="48"/>
      <c r="N65" s="48"/>
      <c r="O65" s="48"/>
      <c r="P65" s="4"/>
      <c r="Q65" s="4"/>
      <c r="R65" s="4"/>
      <c r="S65" s="4"/>
      <c r="T65" s="4"/>
      <c r="U65" s="4"/>
      <c r="V65" s="4"/>
      <c r="W65" s="4"/>
      <c r="X65" s="4"/>
      <c r="Y65" s="4"/>
      <c r="Z65" s="4"/>
      <c r="AA65" s="4"/>
      <c r="AB65" s="4"/>
      <c r="AC65" s="4"/>
      <c r="AD65" s="4"/>
      <c r="AE65" s="4"/>
      <c r="AF65" s="4"/>
      <c r="AG65" s="4"/>
      <c r="AH65" s="4"/>
      <c r="AI65" s="1377"/>
      <c r="AJ65" s="1377"/>
      <c r="AK65" s="1377"/>
      <c r="AL65" s="1377"/>
      <c r="AM65" s="1377"/>
      <c r="AN65" s="1377"/>
      <c r="AO65" s="1377"/>
      <c r="AP65" s="1377"/>
      <c r="AQ65" s="1377"/>
      <c r="AR65" s="1377"/>
      <c r="AS65" s="1377"/>
      <c r="AT65" s="1377"/>
      <c r="AU65" s="1377"/>
    </row>
    <row r="66" spans="1:47" s="1" customFormat="1">
      <c r="A66" s="48"/>
      <c r="B66" s="48"/>
      <c r="C66" s="48"/>
      <c r="D66" s="48"/>
      <c r="E66" s="48"/>
      <c r="F66" s="48"/>
      <c r="G66" s="48"/>
      <c r="H66" s="48"/>
      <c r="I66" s="48"/>
      <c r="J66" s="48"/>
      <c r="K66" s="48"/>
      <c r="L66" s="48"/>
      <c r="M66" s="48"/>
      <c r="N66" s="48"/>
      <c r="O66" s="48"/>
      <c r="P66" s="4"/>
      <c r="Q66" s="4"/>
      <c r="R66" s="4"/>
      <c r="S66" s="4"/>
      <c r="T66" s="4"/>
      <c r="U66" s="4"/>
      <c r="V66" s="4"/>
      <c r="W66" s="4"/>
      <c r="X66" s="4"/>
      <c r="Y66" s="4"/>
      <c r="Z66" s="4"/>
      <c r="AA66" s="4"/>
      <c r="AB66" s="4"/>
      <c r="AC66" s="4"/>
      <c r="AD66" s="4"/>
      <c r="AE66" s="4"/>
      <c r="AF66" s="4"/>
      <c r="AG66" s="4"/>
      <c r="AH66" s="4"/>
      <c r="AI66" s="1377"/>
      <c r="AJ66" s="1377"/>
      <c r="AK66" s="1377"/>
      <c r="AL66" s="1377"/>
      <c r="AM66" s="1377"/>
      <c r="AN66" s="1377"/>
      <c r="AO66" s="1377"/>
      <c r="AP66" s="1377"/>
      <c r="AQ66" s="1377"/>
      <c r="AR66" s="1377"/>
      <c r="AS66" s="1377"/>
      <c r="AT66" s="1377"/>
      <c r="AU66" s="1377"/>
    </row>
    <row r="67" spans="1:47" s="1" customFormat="1">
      <c r="A67" s="48"/>
      <c r="B67" s="48"/>
      <c r="C67" s="48"/>
      <c r="D67" s="48"/>
      <c r="E67" s="48"/>
      <c r="F67" s="48"/>
      <c r="G67" s="48"/>
      <c r="H67" s="48"/>
      <c r="I67" s="48"/>
      <c r="J67" s="48"/>
      <c r="K67" s="48"/>
      <c r="L67" s="48"/>
      <c r="M67" s="48"/>
      <c r="N67" s="48"/>
      <c r="O67" s="48"/>
      <c r="P67" s="4"/>
      <c r="Q67" s="4"/>
      <c r="R67" s="4"/>
      <c r="S67" s="4"/>
      <c r="T67" s="4"/>
      <c r="U67" s="4"/>
      <c r="V67" s="4"/>
      <c r="W67" s="4"/>
      <c r="X67" s="4"/>
      <c r="Y67" s="4"/>
      <c r="Z67" s="4"/>
      <c r="AA67" s="4"/>
      <c r="AB67" s="4"/>
      <c r="AC67" s="4"/>
      <c r="AD67" s="4"/>
      <c r="AE67" s="4"/>
      <c r="AF67" s="4"/>
      <c r="AG67" s="4"/>
      <c r="AH67" s="4"/>
      <c r="AI67" s="1377"/>
      <c r="AJ67" s="1377"/>
      <c r="AK67" s="1377"/>
      <c r="AL67" s="1377"/>
      <c r="AM67" s="1377"/>
      <c r="AN67" s="1377"/>
      <c r="AO67" s="1377"/>
      <c r="AP67" s="1377"/>
      <c r="AQ67" s="1377"/>
      <c r="AR67" s="1377"/>
      <c r="AS67" s="1377"/>
      <c r="AT67" s="1377"/>
      <c r="AU67" s="1377"/>
    </row>
    <row r="68" spans="1:47">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567"/>
      <c r="AG68" s="48"/>
      <c r="AH68" s="48"/>
      <c r="AI68" s="1376"/>
      <c r="AJ68" s="1376"/>
      <c r="AK68" s="1376"/>
      <c r="AL68" s="1376"/>
      <c r="AM68" s="1376"/>
      <c r="AN68" s="1376"/>
      <c r="AO68" s="1376"/>
      <c r="AP68" s="1376"/>
      <c r="AQ68" s="1376"/>
      <c r="AR68" s="1376"/>
      <c r="AS68" s="1376"/>
      <c r="AT68" s="1376"/>
      <c r="AU68" s="1376"/>
    </row>
    <row r="69" spans="1:47">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567"/>
      <c r="AG69" s="48"/>
      <c r="AH69" s="48"/>
      <c r="AI69" s="1376"/>
      <c r="AJ69" s="1376"/>
      <c r="AK69" s="1376"/>
      <c r="AL69" s="1376"/>
      <c r="AM69" s="1376"/>
      <c r="AN69" s="1376"/>
      <c r="AO69" s="1376"/>
      <c r="AP69" s="1376"/>
      <c r="AQ69" s="1376"/>
      <c r="AR69" s="1376"/>
      <c r="AS69" s="1376"/>
      <c r="AT69" s="1376"/>
      <c r="AU69" s="1376"/>
    </row>
    <row r="70" spans="1:47">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567"/>
      <c r="AG70" s="48"/>
      <c r="AH70" s="48"/>
      <c r="AI70" s="1376"/>
      <c r="AJ70" s="1376"/>
      <c r="AK70" s="1376"/>
      <c r="AL70" s="1376"/>
      <c r="AM70" s="1376"/>
      <c r="AN70" s="1376"/>
      <c r="AO70" s="1376"/>
      <c r="AP70" s="1376"/>
      <c r="AQ70" s="1376"/>
      <c r="AR70" s="1376"/>
      <c r="AS70" s="1376"/>
      <c r="AT70" s="1376"/>
      <c r="AU70" s="1376"/>
    </row>
    <row r="71" spans="1:47">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567"/>
      <c r="AG71" s="48"/>
      <c r="AH71" s="48"/>
    </row>
    <row r="72" spans="1:47">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567"/>
      <c r="AG72" s="48"/>
      <c r="AH72" s="48"/>
    </row>
    <row r="73" spans="1:47">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567"/>
      <c r="AG73" s="48"/>
      <c r="AH73" s="48"/>
    </row>
    <row r="74" spans="1:47">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567"/>
      <c r="AG74" s="48"/>
      <c r="AH74" s="48"/>
    </row>
    <row r="75" spans="1:47">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567"/>
      <c r="AG75" s="48"/>
      <c r="AH75" s="48"/>
    </row>
    <row r="76" spans="1:47">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567"/>
      <c r="AG76" s="48"/>
      <c r="AH76" s="48"/>
    </row>
    <row r="77" spans="1:47">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row>
    <row r="78" spans="1:47">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row>
    <row r="79" spans="1:47">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row>
    <row r="80" spans="1:47">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row>
    <row r="81" spans="1:34">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row>
    <row r="82" spans="1:34">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row>
    <row r="83" spans="1:34">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row>
    <row r="84" spans="1:34">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row>
    <row r="85" spans="1:34">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row>
    <row r="86" spans="1:34">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row>
    <row r="87" spans="1:34">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row>
    <row r="88" spans="1:34">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row>
    <row r="89" spans="1:34">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row>
    <row r="90" spans="1:34">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row>
    <row r="91" spans="1:34">
      <c r="A91" s="48"/>
      <c r="B91" s="1553"/>
      <c r="C91" s="1553"/>
      <c r="D91" s="1553"/>
      <c r="E91" s="1553"/>
      <c r="F91" s="1553"/>
      <c r="G91" s="1553"/>
      <c r="H91" s="1553"/>
      <c r="I91" s="1553"/>
      <c r="J91" s="1553"/>
      <c r="K91" s="48"/>
      <c r="L91" s="48"/>
      <c r="M91" s="48"/>
      <c r="N91" s="48"/>
      <c r="O91" s="48"/>
      <c r="P91" s="48"/>
      <c r="Q91" s="48"/>
      <c r="R91" s="48"/>
      <c r="S91" s="48"/>
      <c r="T91" s="48"/>
      <c r="U91" s="48"/>
      <c r="V91" s="48"/>
      <c r="W91" s="48"/>
      <c r="X91" s="48"/>
      <c r="Y91" s="48"/>
      <c r="Z91" s="48"/>
      <c r="AA91" s="48"/>
      <c r="AB91" s="48"/>
      <c r="AC91" s="48"/>
      <c r="AD91" s="48"/>
      <c r="AE91" s="48"/>
      <c r="AF91" s="48"/>
      <c r="AG91" s="48"/>
      <c r="AH91" s="48"/>
    </row>
    <row r="92" spans="1:34">
      <c r="A92" s="48"/>
      <c r="B92" s="1553"/>
      <c r="C92" s="1553"/>
      <c r="D92" s="1553"/>
      <c r="E92" s="1553"/>
      <c r="F92" s="1553"/>
      <c r="G92" s="1553"/>
      <c r="H92" s="1553"/>
      <c r="I92" s="1553"/>
      <c r="J92" s="1553"/>
      <c r="K92" s="48"/>
      <c r="L92" s="48"/>
      <c r="M92" s="48"/>
      <c r="N92" s="48"/>
      <c r="O92" s="48"/>
      <c r="P92" s="48"/>
      <c r="Q92" s="48"/>
      <c r="R92" s="48"/>
      <c r="S92" s="48"/>
      <c r="T92" s="48"/>
      <c r="U92" s="48"/>
      <c r="V92" s="48"/>
      <c r="W92" s="48"/>
      <c r="X92" s="48"/>
      <c r="Y92" s="48"/>
      <c r="Z92" s="48"/>
      <c r="AA92" s="48"/>
      <c r="AB92" s="48"/>
      <c r="AC92" s="48"/>
      <c r="AD92" s="48"/>
      <c r="AE92" s="48"/>
      <c r="AF92" s="48"/>
      <c r="AG92" s="48"/>
      <c r="AH92" s="48"/>
    </row>
    <row r="93" spans="1:34">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row>
    <row r="94" spans="1:34">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row>
    <row r="95" spans="1:34">
      <c r="A95" s="48"/>
      <c r="B95" s="48"/>
      <c r="C95" s="48"/>
      <c r="D95" s="48"/>
      <c r="E95" s="48"/>
      <c r="F95" s="48"/>
      <c r="G95" s="48"/>
      <c r="H95" s="48"/>
      <c r="I95" s="48"/>
      <c r="J95" s="48"/>
      <c r="K95" s="48"/>
      <c r="L95" s="48"/>
      <c r="M95" s="48"/>
      <c r="N95" s="48"/>
      <c r="O95" s="48"/>
      <c r="P95" s="48"/>
      <c r="Q95" s="48"/>
    </row>
    <row r="96" spans="1:34">
      <c r="A96" s="48"/>
      <c r="B96" s="48"/>
      <c r="C96" s="48"/>
      <c r="D96" s="48"/>
      <c r="E96" s="48"/>
      <c r="F96" s="48"/>
      <c r="G96" s="48"/>
      <c r="H96" s="48"/>
      <c r="I96" s="48"/>
      <c r="J96" s="48"/>
      <c r="K96" s="48"/>
      <c r="L96" s="48"/>
      <c r="M96" s="48"/>
      <c r="N96" s="48"/>
      <c r="O96" s="48"/>
      <c r="P96" s="48"/>
      <c r="Q96" s="48"/>
    </row>
    <row r="97" spans="1:17">
      <c r="A97" s="48"/>
      <c r="B97" s="48"/>
      <c r="C97" s="48"/>
      <c r="D97" s="48"/>
      <c r="E97" s="48"/>
      <c r="F97" s="48"/>
      <c r="G97" s="48"/>
      <c r="H97" s="48"/>
      <c r="I97" s="48"/>
      <c r="J97" s="48"/>
      <c r="K97" s="48"/>
      <c r="L97" s="48"/>
      <c r="M97" s="48"/>
      <c r="N97" s="48"/>
      <c r="O97" s="48"/>
      <c r="P97" s="48"/>
      <c r="Q97" s="48"/>
    </row>
    <row r="98" spans="1:17">
      <c r="A98" s="48"/>
      <c r="B98" s="48"/>
      <c r="C98" s="48"/>
      <c r="D98" s="48"/>
      <c r="E98" s="48"/>
      <c r="F98" s="48"/>
      <c r="G98" s="48"/>
      <c r="H98" s="48"/>
      <c r="I98" s="48"/>
      <c r="J98" s="48"/>
      <c r="K98" s="48"/>
      <c r="L98" s="48"/>
      <c r="M98" s="48"/>
      <c r="N98" s="48"/>
      <c r="O98" s="48"/>
      <c r="P98" s="48"/>
      <c r="Q98" s="48"/>
    </row>
    <row r="99" spans="1:17">
      <c r="B99" s="48"/>
      <c r="C99" s="48"/>
      <c r="D99" s="48"/>
      <c r="E99" s="48"/>
      <c r="F99" s="48"/>
      <c r="G99" s="48"/>
      <c r="H99" s="48"/>
      <c r="I99" s="48"/>
      <c r="J99" s="48"/>
      <c r="K99" s="48"/>
      <c r="L99" s="48"/>
      <c r="M99" s="48"/>
      <c r="N99" s="48"/>
      <c r="O99" s="48"/>
      <c r="P99" s="48"/>
      <c r="Q99" s="48"/>
    </row>
    <row r="100" spans="1:17">
      <c r="B100" s="48"/>
      <c r="C100" s="48"/>
      <c r="D100" s="48"/>
      <c r="E100" s="48"/>
      <c r="F100" s="48"/>
      <c r="G100" s="48"/>
      <c r="H100" s="48"/>
      <c r="I100" s="48"/>
      <c r="J100" s="48"/>
      <c r="K100" s="48"/>
      <c r="L100" s="48"/>
      <c r="M100" s="48"/>
      <c r="N100" s="48"/>
      <c r="O100" s="48"/>
      <c r="P100" s="48"/>
      <c r="Q100" s="48"/>
    </row>
  </sheetData>
  <mergeCells count="21">
    <mergeCell ref="V2:AB3"/>
    <mergeCell ref="B35:H36"/>
    <mergeCell ref="N5:Q5"/>
    <mergeCell ref="B2:Q3"/>
    <mergeCell ref="B5:C5"/>
    <mergeCell ref="D5:E5"/>
    <mergeCell ref="F5:G5"/>
    <mergeCell ref="H5:I5"/>
    <mergeCell ref="J5:M5"/>
    <mergeCell ref="B91:E92"/>
    <mergeCell ref="F91:J92"/>
    <mergeCell ref="N6:Q6"/>
    <mergeCell ref="C10:D10"/>
    <mergeCell ref="B20:B32"/>
    <mergeCell ref="B11:B19"/>
    <mergeCell ref="B6:C6"/>
    <mergeCell ref="D6:E6"/>
    <mergeCell ref="F6:G6"/>
    <mergeCell ref="H6:I6"/>
    <mergeCell ref="J6:K6"/>
    <mergeCell ref="L6:M6"/>
  </mergeCells>
  <phoneticPr fontId="2"/>
  <printOptions horizontalCentered="1" verticalCentered="1"/>
  <pageMargins left="0.70866141732283472" right="0.70866141732283472" top="0.74803149606299213" bottom="0.74803149606299213" header="0.31496062992125984" footer="0.31496062992125984"/>
  <pageSetup paperSize="8" scale="60" orientation="landscape" r:id="rId1"/>
  <colBreaks count="1" manualBreakCount="1">
    <brk id="32" max="59" man="1"/>
  </colBreaks>
  <ignoredErrors>
    <ignoredError sqref="Q21 Q23 Q25"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A7A0C-4A26-4984-8F2A-F90E5145FF54}">
  <sheetPr>
    <tabColor rgb="FFFFFF00"/>
  </sheetPr>
  <dimension ref="A1:I109"/>
  <sheetViews>
    <sheetView showGridLines="0" zoomScaleNormal="100" zoomScaleSheetLayoutView="115" workbookViewId="0"/>
  </sheetViews>
  <sheetFormatPr defaultColWidth="8.08203125" defaultRowHeight="19.149999999999999" customHeight="1"/>
  <cols>
    <col min="1" max="1" width="4.83203125" style="653" customWidth="1"/>
    <col min="2" max="2" width="8.08203125" style="653" customWidth="1"/>
    <col min="3" max="7" width="8.08203125" style="653"/>
    <col min="8" max="8" width="21" style="653" customWidth="1"/>
    <col min="9" max="9" width="10.25" style="719" customWidth="1"/>
    <col min="10" max="16384" width="8.08203125" style="653"/>
  </cols>
  <sheetData>
    <row r="1" spans="1:9" s="733" customFormat="1" ht="13.15" customHeight="1">
      <c r="A1" s="637" t="s">
        <v>951</v>
      </c>
      <c r="B1" s="637"/>
      <c r="C1" s="637"/>
      <c r="D1" s="637"/>
      <c r="E1" s="637"/>
      <c r="F1" s="637"/>
      <c r="G1" s="637"/>
    </row>
    <row r="2" spans="1:9" s="733" customFormat="1" ht="13.15" customHeight="1">
      <c r="A2" s="637" t="s">
        <v>1027</v>
      </c>
    </row>
    <row r="3" spans="1:9" ht="19.149999999999999" customHeight="1">
      <c r="A3" s="1611" t="s">
        <v>1026</v>
      </c>
      <c r="B3" s="1612"/>
      <c r="C3" s="1612"/>
      <c r="D3" s="1612"/>
      <c r="E3" s="1612"/>
      <c r="F3" s="1612"/>
      <c r="G3" s="1612"/>
      <c r="H3" s="1613"/>
      <c r="I3" s="646" t="s">
        <v>948</v>
      </c>
    </row>
    <row r="4" spans="1:9" ht="19.149999999999999" customHeight="1">
      <c r="A4" s="1624" t="s">
        <v>1025</v>
      </c>
      <c r="B4" s="1625"/>
      <c r="C4" s="1625"/>
      <c r="D4" s="1625"/>
      <c r="E4" s="1625"/>
      <c r="F4" s="1625"/>
      <c r="G4" s="1625"/>
      <c r="H4" s="1625"/>
      <c r="I4" s="1626"/>
    </row>
    <row r="5" spans="1:9" s="720" customFormat="1" ht="17.649999999999999" customHeight="1">
      <c r="A5" s="724">
        <v>1</v>
      </c>
      <c r="B5" s="1620" t="s">
        <v>1024</v>
      </c>
      <c r="C5" s="1620"/>
      <c r="D5" s="1620"/>
      <c r="E5" s="1620"/>
      <c r="F5" s="1620"/>
      <c r="G5" s="1620"/>
      <c r="H5" s="1621"/>
      <c r="I5" s="721"/>
    </row>
    <row r="6" spans="1:9" s="720" customFormat="1" ht="17.649999999999999" customHeight="1">
      <c r="A6" s="723">
        <v>2</v>
      </c>
      <c r="B6" s="1614" t="s">
        <v>1023</v>
      </c>
      <c r="C6" s="1614" t="s">
        <v>1023</v>
      </c>
      <c r="D6" s="1614" t="s">
        <v>1023</v>
      </c>
      <c r="E6" s="1614" t="s">
        <v>1023</v>
      </c>
      <c r="F6" s="1614" t="s">
        <v>1023</v>
      </c>
      <c r="G6" s="1614" t="s">
        <v>1023</v>
      </c>
      <c r="H6" s="1615" t="s">
        <v>1023</v>
      </c>
      <c r="I6" s="721"/>
    </row>
    <row r="7" spans="1:9" s="720" customFormat="1" ht="17.649999999999999" customHeight="1">
      <c r="A7" s="723">
        <v>3</v>
      </c>
      <c r="B7" s="1614" t="s">
        <v>1022</v>
      </c>
      <c r="C7" s="1614" t="s">
        <v>1021</v>
      </c>
      <c r="D7" s="1614" t="s">
        <v>1021</v>
      </c>
      <c r="E7" s="1614" t="s">
        <v>1021</v>
      </c>
      <c r="F7" s="1614" t="s">
        <v>1021</v>
      </c>
      <c r="G7" s="1614" t="s">
        <v>1021</v>
      </c>
      <c r="H7" s="1615" t="s">
        <v>1021</v>
      </c>
      <c r="I7" s="721"/>
    </row>
    <row r="8" spans="1:9" s="720" customFormat="1" ht="17.649999999999999" customHeight="1">
      <c r="A8" s="723">
        <v>4</v>
      </c>
      <c r="B8" s="1614" t="s">
        <v>1020</v>
      </c>
      <c r="C8" s="1614" t="s">
        <v>1020</v>
      </c>
      <c r="D8" s="1614" t="s">
        <v>1020</v>
      </c>
      <c r="E8" s="1614" t="s">
        <v>1020</v>
      </c>
      <c r="F8" s="1614" t="s">
        <v>1020</v>
      </c>
      <c r="G8" s="1614" t="s">
        <v>1020</v>
      </c>
      <c r="H8" s="1615" t="s">
        <v>1020</v>
      </c>
      <c r="I8" s="721"/>
    </row>
    <row r="9" spans="1:9" s="720" customFormat="1" ht="17.649999999999999" customHeight="1">
      <c r="A9" s="723">
        <v>5</v>
      </c>
      <c r="B9" s="1614" t="s">
        <v>1019</v>
      </c>
      <c r="C9" s="1614" t="s">
        <v>1018</v>
      </c>
      <c r="D9" s="1614" t="s">
        <v>1018</v>
      </c>
      <c r="E9" s="1614" t="s">
        <v>1018</v>
      </c>
      <c r="F9" s="1614" t="s">
        <v>1018</v>
      </c>
      <c r="G9" s="1614" t="s">
        <v>1018</v>
      </c>
      <c r="H9" s="1615" t="s">
        <v>1018</v>
      </c>
      <c r="I9" s="721"/>
    </row>
    <row r="10" spans="1:9" s="720" customFormat="1" ht="17.649999999999999" customHeight="1">
      <c r="A10" s="726">
        <v>6</v>
      </c>
      <c r="B10" s="1622" t="s">
        <v>1017</v>
      </c>
      <c r="C10" s="1622" t="s">
        <v>1016</v>
      </c>
      <c r="D10" s="1622" t="s">
        <v>1016</v>
      </c>
      <c r="E10" s="1622" t="s">
        <v>1016</v>
      </c>
      <c r="F10" s="1622" t="s">
        <v>1016</v>
      </c>
      <c r="G10" s="1622" t="s">
        <v>1016</v>
      </c>
      <c r="H10" s="1623" t="s">
        <v>1016</v>
      </c>
      <c r="I10" s="721"/>
    </row>
    <row r="11" spans="1:9" ht="19.149999999999999" customHeight="1">
      <c r="A11" s="1627" t="s">
        <v>1015</v>
      </c>
      <c r="B11" s="1628"/>
      <c r="C11" s="1628"/>
      <c r="D11" s="1628"/>
      <c r="E11" s="1628"/>
      <c r="F11" s="1628"/>
      <c r="G11" s="1628"/>
      <c r="H11" s="1628"/>
      <c r="I11" s="1629"/>
    </row>
    <row r="12" spans="1:9" s="720" customFormat="1" ht="17.649999999999999" customHeight="1">
      <c r="A12" s="727">
        <v>7</v>
      </c>
      <c r="B12" s="1618" t="s">
        <v>1014</v>
      </c>
      <c r="C12" s="1618"/>
      <c r="D12" s="1618"/>
      <c r="E12" s="1618"/>
      <c r="F12" s="1618"/>
      <c r="G12" s="1618"/>
      <c r="H12" s="1619"/>
      <c r="I12" s="721"/>
    </row>
    <row r="13" spans="1:9" s="720" customFormat="1" ht="17.649999999999999" customHeight="1">
      <c r="A13" s="723">
        <v>8</v>
      </c>
      <c r="B13" s="1616" t="s">
        <v>1013</v>
      </c>
      <c r="C13" s="1616"/>
      <c r="D13" s="1616"/>
      <c r="E13" s="1616"/>
      <c r="F13" s="1616"/>
      <c r="G13" s="1616"/>
      <c r="H13" s="1617"/>
      <c r="I13" s="732"/>
    </row>
    <row r="14" spans="1:9" s="720" customFormat="1" ht="17.649999999999999" customHeight="1">
      <c r="A14" s="723">
        <v>9</v>
      </c>
      <c r="B14" s="1577" t="s">
        <v>1012</v>
      </c>
      <c r="C14" s="1577"/>
      <c r="D14" s="1577"/>
      <c r="E14" s="1577"/>
      <c r="F14" s="1577"/>
      <c r="G14" s="1577"/>
      <c r="H14" s="1578"/>
      <c r="I14" s="732"/>
    </row>
    <row r="15" spans="1:9" s="720" customFormat="1" ht="17.649999999999999" customHeight="1">
      <c r="A15" s="723">
        <v>10</v>
      </c>
      <c r="B15" s="1577" t="s">
        <v>1011</v>
      </c>
      <c r="C15" s="1577"/>
      <c r="D15" s="1577"/>
      <c r="E15" s="1577"/>
      <c r="F15" s="1577"/>
      <c r="G15" s="1577"/>
      <c r="H15" s="1578"/>
      <c r="I15" s="732"/>
    </row>
    <row r="16" spans="1:9" s="720" customFormat="1" ht="17.649999999999999" customHeight="1">
      <c r="A16" s="723">
        <v>11</v>
      </c>
      <c r="B16" s="1577" t="s">
        <v>1010</v>
      </c>
      <c r="C16" s="1577"/>
      <c r="D16" s="1577"/>
      <c r="E16" s="1577"/>
      <c r="F16" s="1577"/>
      <c r="G16" s="1577"/>
      <c r="H16" s="1578"/>
      <c r="I16" s="732"/>
    </row>
    <row r="17" spans="1:9" s="720" customFormat="1" ht="17.649999999999999" customHeight="1">
      <c r="A17" s="723">
        <v>12</v>
      </c>
      <c r="B17" s="1577" t="s">
        <v>1009</v>
      </c>
      <c r="C17" s="1577"/>
      <c r="D17" s="1577"/>
      <c r="E17" s="1577"/>
      <c r="F17" s="1577"/>
      <c r="G17" s="1577"/>
      <c r="H17" s="1578"/>
      <c r="I17" s="732"/>
    </row>
    <row r="18" spans="1:9" s="720" customFormat="1" ht="17.649999999999999" customHeight="1">
      <c r="A18" s="723">
        <v>13</v>
      </c>
      <c r="B18" s="1577" t="s">
        <v>1008</v>
      </c>
      <c r="C18" s="1577"/>
      <c r="D18" s="1577"/>
      <c r="E18" s="1577"/>
      <c r="F18" s="1577"/>
      <c r="G18" s="1577"/>
      <c r="H18" s="1578"/>
      <c r="I18" s="732"/>
    </row>
    <row r="19" spans="1:9" s="720" customFormat="1" ht="30" customHeight="1">
      <c r="A19" s="723">
        <v>14</v>
      </c>
      <c r="B19" s="1614" t="s">
        <v>1007</v>
      </c>
      <c r="C19" s="1614"/>
      <c r="D19" s="1614"/>
      <c r="E19" s="1614"/>
      <c r="F19" s="1614"/>
      <c r="G19" s="1614"/>
      <c r="H19" s="1615"/>
      <c r="I19" s="732"/>
    </row>
    <row r="20" spans="1:9" s="720" customFormat="1" ht="17.649999999999999" customHeight="1">
      <c r="A20" s="723">
        <v>15</v>
      </c>
      <c r="B20" s="1577" t="s">
        <v>1006</v>
      </c>
      <c r="C20" s="1577"/>
      <c r="D20" s="1577"/>
      <c r="E20" s="1577"/>
      <c r="F20" s="1577"/>
      <c r="G20" s="1577"/>
      <c r="H20" s="1578"/>
      <c r="I20" s="732"/>
    </row>
    <row r="21" spans="1:9" s="720" customFormat="1" ht="17.25" customHeight="1">
      <c r="A21" s="726">
        <v>16</v>
      </c>
      <c r="B21" s="1579" t="s">
        <v>1005</v>
      </c>
      <c r="C21" s="1579"/>
      <c r="D21" s="1579"/>
      <c r="E21" s="1579"/>
      <c r="F21" s="1579"/>
      <c r="G21" s="1579"/>
      <c r="H21" s="1580"/>
      <c r="I21" s="731"/>
    </row>
    <row r="22" spans="1:9" s="720" customFormat="1" ht="30" customHeight="1">
      <c r="A22" s="726">
        <v>17</v>
      </c>
      <c r="B22" s="1630" t="s">
        <v>1004</v>
      </c>
      <c r="C22" s="1630"/>
      <c r="D22" s="1630"/>
      <c r="E22" s="1630"/>
      <c r="F22" s="1630"/>
      <c r="G22" s="1630"/>
      <c r="H22" s="1631"/>
      <c r="I22" s="731"/>
    </row>
    <row r="23" spans="1:9" s="720" customFormat="1" ht="17.25" customHeight="1">
      <c r="A23" s="726">
        <v>18</v>
      </c>
      <c r="B23" s="1630" t="s">
        <v>1003</v>
      </c>
      <c r="C23" s="1630"/>
      <c r="D23" s="1630"/>
      <c r="E23" s="1630"/>
      <c r="F23" s="1630"/>
      <c r="G23" s="1630"/>
      <c r="H23" s="1631"/>
      <c r="I23" s="731"/>
    </row>
    <row r="24" spans="1:9" ht="19.149999999999999" customHeight="1">
      <c r="A24" s="1624" t="s">
        <v>1002</v>
      </c>
      <c r="B24" s="1625"/>
      <c r="C24" s="1625"/>
      <c r="D24" s="1625"/>
      <c r="E24" s="1625"/>
      <c r="F24" s="1625"/>
      <c r="G24" s="1625"/>
      <c r="H24" s="1625"/>
      <c r="I24" s="1626"/>
    </row>
    <row r="25" spans="1:9" s="720" customFormat="1" ht="17.649999999999999" customHeight="1">
      <c r="A25" s="727">
        <v>19</v>
      </c>
      <c r="B25" s="1588" t="s">
        <v>1001</v>
      </c>
      <c r="C25" s="1588"/>
      <c r="D25" s="1588"/>
      <c r="E25" s="1588"/>
      <c r="F25" s="1588"/>
      <c r="G25" s="1588"/>
      <c r="H25" s="1589"/>
      <c r="I25" s="721"/>
    </row>
    <row r="26" spans="1:9" s="720" customFormat="1" ht="17.649999999999999" customHeight="1">
      <c r="A26" s="723">
        <v>20</v>
      </c>
      <c r="B26" s="1577" t="s">
        <v>1000</v>
      </c>
      <c r="C26" s="1577"/>
      <c r="D26" s="1577"/>
      <c r="E26" s="1577"/>
      <c r="F26" s="1577"/>
      <c r="G26" s="1577"/>
      <c r="H26" s="1578"/>
      <c r="I26" s="721"/>
    </row>
    <row r="27" spans="1:9" s="720" customFormat="1" ht="17.649999999999999" customHeight="1">
      <c r="A27" s="727">
        <v>21</v>
      </c>
      <c r="B27" s="1577" t="s">
        <v>999</v>
      </c>
      <c r="C27" s="1577"/>
      <c r="D27" s="1577"/>
      <c r="E27" s="1577"/>
      <c r="F27" s="1577"/>
      <c r="G27" s="1577"/>
      <c r="H27" s="1578"/>
      <c r="I27" s="721"/>
    </row>
    <row r="28" spans="1:9" s="720" customFormat="1" ht="17.649999999999999" customHeight="1">
      <c r="A28" s="723">
        <v>22</v>
      </c>
      <c r="B28" s="1577" t="s">
        <v>998</v>
      </c>
      <c r="C28" s="1577"/>
      <c r="D28" s="1577"/>
      <c r="E28" s="1577"/>
      <c r="F28" s="1577"/>
      <c r="G28" s="1577"/>
      <c r="H28" s="1578"/>
      <c r="I28" s="721"/>
    </row>
    <row r="29" spans="1:9" s="720" customFormat="1" ht="17.649999999999999" customHeight="1">
      <c r="A29" s="727">
        <v>23</v>
      </c>
      <c r="B29" s="1577" t="s">
        <v>997</v>
      </c>
      <c r="C29" s="1577"/>
      <c r="D29" s="1577"/>
      <c r="E29" s="1577"/>
      <c r="F29" s="1577"/>
      <c r="G29" s="1577"/>
      <c r="H29" s="1578"/>
      <c r="I29" s="721"/>
    </row>
    <row r="30" spans="1:9" s="720" customFormat="1" ht="17.649999999999999" customHeight="1">
      <c r="A30" s="723">
        <v>24</v>
      </c>
      <c r="B30" s="1577" t="s">
        <v>996</v>
      </c>
      <c r="C30" s="1577"/>
      <c r="D30" s="1577"/>
      <c r="E30" s="1577"/>
      <c r="F30" s="1577"/>
      <c r="G30" s="1577"/>
      <c r="H30" s="1578"/>
      <c r="I30" s="721"/>
    </row>
    <row r="31" spans="1:9" s="730" customFormat="1" ht="30" customHeight="1">
      <c r="A31" s="729">
        <v>25</v>
      </c>
      <c r="B31" s="1632" t="s">
        <v>995</v>
      </c>
      <c r="C31" s="1632"/>
      <c r="D31" s="1632"/>
      <c r="E31" s="1632"/>
      <c r="F31" s="1632"/>
      <c r="G31" s="1632"/>
      <c r="H31" s="1633"/>
      <c r="I31" s="735"/>
    </row>
    <row r="32" spans="1:9" ht="19.149999999999999" customHeight="1">
      <c r="A32" s="1624" t="s">
        <v>994</v>
      </c>
      <c r="B32" s="1625"/>
      <c r="C32" s="1625"/>
      <c r="D32" s="1625"/>
      <c r="E32" s="1625"/>
      <c r="F32" s="1625"/>
      <c r="G32" s="1625"/>
      <c r="H32" s="1625"/>
      <c r="I32" s="1626"/>
    </row>
    <row r="33" spans="1:9" s="720" customFormat="1" ht="17.649999999999999" customHeight="1">
      <c r="A33" s="727">
        <v>26</v>
      </c>
      <c r="B33" s="1588" t="s">
        <v>993</v>
      </c>
      <c r="C33" s="1588"/>
      <c r="D33" s="1588"/>
      <c r="E33" s="1588"/>
      <c r="F33" s="1588"/>
      <c r="G33" s="1588"/>
      <c r="H33" s="1589"/>
      <c r="I33" s="721"/>
    </row>
    <row r="34" spans="1:9" s="720" customFormat="1" ht="17.649999999999999" customHeight="1">
      <c r="A34" s="723">
        <v>27</v>
      </c>
      <c r="B34" s="1577" t="s">
        <v>992</v>
      </c>
      <c r="C34" s="1577"/>
      <c r="D34" s="1577"/>
      <c r="E34" s="1577"/>
      <c r="F34" s="1577"/>
      <c r="G34" s="1577"/>
      <c r="H34" s="1578"/>
      <c r="I34" s="721"/>
    </row>
    <row r="35" spans="1:9" s="720" customFormat="1" ht="17.649999999999999" customHeight="1">
      <c r="A35" s="727">
        <v>28</v>
      </c>
      <c r="B35" s="1577" t="s">
        <v>991</v>
      </c>
      <c r="C35" s="1577"/>
      <c r="D35" s="1577"/>
      <c r="E35" s="1577"/>
      <c r="F35" s="1577"/>
      <c r="G35" s="1577"/>
      <c r="H35" s="1578"/>
      <c r="I35" s="721"/>
    </row>
    <row r="36" spans="1:9" s="720" customFormat="1" ht="17.649999999999999" customHeight="1">
      <c r="A36" s="723">
        <v>29</v>
      </c>
      <c r="B36" s="1577" t="s">
        <v>990</v>
      </c>
      <c r="C36" s="1577"/>
      <c r="D36" s="1577"/>
      <c r="E36" s="1577"/>
      <c r="F36" s="1577"/>
      <c r="G36" s="1577"/>
      <c r="H36" s="1578"/>
      <c r="I36" s="721"/>
    </row>
    <row r="37" spans="1:9" s="720" customFormat="1" ht="17.649999999999999" customHeight="1">
      <c r="A37" s="727">
        <v>30</v>
      </c>
      <c r="B37" s="1577" t="s">
        <v>989</v>
      </c>
      <c r="C37" s="1577"/>
      <c r="D37" s="1577"/>
      <c r="E37" s="1577"/>
      <c r="F37" s="1577"/>
      <c r="G37" s="1577"/>
      <c r="H37" s="1578"/>
      <c r="I37" s="721"/>
    </row>
    <row r="38" spans="1:9" s="730" customFormat="1" ht="18" customHeight="1">
      <c r="A38" s="723">
        <v>31</v>
      </c>
      <c r="B38" s="1590" t="s">
        <v>988</v>
      </c>
      <c r="C38" s="1590"/>
      <c r="D38" s="1590"/>
      <c r="E38" s="1590"/>
      <c r="F38" s="1590"/>
      <c r="G38" s="1590"/>
      <c r="H38" s="1591"/>
      <c r="I38" s="721"/>
    </row>
    <row r="39" spans="1:9" s="720" customFormat="1" ht="17.649999999999999" customHeight="1">
      <c r="A39" s="727">
        <v>32</v>
      </c>
      <c r="B39" s="1577" t="s">
        <v>987</v>
      </c>
      <c r="C39" s="1577"/>
      <c r="D39" s="1577"/>
      <c r="E39" s="1577"/>
      <c r="F39" s="1577"/>
      <c r="G39" s="1577"/>
      <c r="H39" s="1578"/>
      <c r="I39" s="721"/>
    </row>
    <row r="40" spans="1:9" s="720" customFormat="1" ht="17.649999999999999" customHeight="1">
      <c r="A40" s="723">
        <v>33</v>
      </c>
      <c r="B40" s="1578" t="s">
        <v>986</v>
      </c>
      <c r="C40" s="1587"/>
      <c r="D40" s="1587"/>
      <c r="E40" s="1587"/>
      <c r="F40" s="1587"/>
      <c r="G40" s="1587"/>
      <c r="H40" s="1587"/>
      <c r="I40" s="721"/>
    </row>
    <row r="41" spans="1:9" s="720" customFormat="1" ht="17.649999999999999" customHeight="1">
      <c r="A41" s="727">
        <v>34</v>
      </c>
      <c r="B41" s="1578" t="s">
        <v>985</v>
      </c>
      <c r="C41" s="1587"/>
      <c r="D41" s="1587"/>
      <c r="E41" s="1587"/>
      <c r="F41" s="1587"/>
      <c r="G41" s="1587"/>
      <c r="H41" s="1587"/>
      <c r="I41" s="721"/>
    </row>
    <row r="42" spans="1:9" s="720" customFormat="1" ht="17.649999999999999" customHeight="1">
      <c r="A42" s="723">
        <v>35</v>
      </c>
      <c r="B42" s="1579" t="s">
        <v>984</v>
      </c>
      <c r="C42" s="1579"/>
      <c r="D42" s="1579"/>
      <c r="E42" s="1579"/>
      <c r="F42" s="1579"/>
      <c r="G42" s="1579"/>
      <c r="H42" s="1580"/>
      <c r="I42" s="721"/>
    </row>
    <row r="43" spans="1:9" s="720" customFormat="1" ht="17.649999999999999" customHeight="1">
      <c r="A43" s="723">
        <v>36</v>
      </c>
      <c r="B43" s="1579" t="s">
        <v>1187</v>
      </c>
      <c r="C43" s="1579"/>
      <c r="D43" s="1579"/>
      <c r="E43" s="1579"/>
      <c r="F43" s="1579"/>
      <c r="G43" s="1579"/>
      <c r="H43" s="1580"/>
      <c r="I43" s="721"/>
    </row>
    <row r="44" spans="1:9" s="720" customFormat="1" ht="17.649999999999999" customHeight="1">
      <c r="A44" s="723">
        <v>37</v>
      </c>
      <c r="B44" s="1579" t="s">
        <v>1188</v>
      </c>
      <c r="C44" s="1579"/>
      <c r="D44" s="1579"/>
      <c r="E44" s="1579"/>
      <c r="F44" s="1579"/>
      <c r="G44" s="1579"/>
      <c r="H44" s="1580"/>
      <c r="I44" s="721"/>
    </row>
    <row r="45" spans="1:9" ht="19.149999999999999" customHeight="1">
      <c r="A45" s="1594" t="s">
        <v>983</v>
      </c>
      <c r="B45" s="1595"/>
      <c r="C45" s="1595"/>
      <c r="D45" s="1595"/>
      <c r="E45" s="1595"/>
      <c r="F45" s="1595"/>
      <c r="G45" s="1595"/>
      <c r="H45" s="1595"/>
      <c r="I45" s="1596"/>
    </row>
    <row r="46" spans="1:9" ht="19.149999999999999" customHeight="1">
      <c r="A46" s="1581"/>
      <c r="B46" s="1582"/>
      <c r="C46" s="1582"/>
      <c r="D46" s="1582"/>
      <c r="E46" s="1582"/>
      <c r="F46" s="1582"/>
      <c r="G46" s="1582"/>
      <c r="H46" s="1582"/>
      <c r="I46" s="1583"/>
    </row>
    <row r="47" spans="1:9" ht="19.149999999999999" customHeight="1">
      <c r="A47" s="1581"/>
      <c r="B47" s="1582"/>
      <c r="C47" s="1582"/>
      <c r="D47" s="1582"/>
      <c r="E47" s="1582"/>
      <c r="F47" s="1582"/>
      <c r="G47" s="1582"/>
      <c r="H47" s="1582"/>
      <c r="I47" s="1583"/>
    </row>
    <row r="48" spans="1:9" ht="19.149999999999999" customHeight="1">
      <c r="A48" s="1581"/>
      <c r="B48" s="1582"/>
      <c r="C48" s="1582"/>
      <c r="D48" s="1582"/>
      <c r="E48" s="1582"/>
      <c r="F48" s="1582"/>
      <c r="G48" s="1582"/>
      <c r="H48" s="1582"/>
      <c r="I48" s="1583"/>
    </row>
    <row r="49" spans="1:9" ht="19.149999999999999" customHeight="1">
      <c r="A49" s="1584"/>
      <c r="B49" s="1585"/>
      <c r="C49" s="1585"/>
      <c r="D49" s="1585"/>
      <c r="E49" s="1585"/>
      <c r="F49" s="1585"/>
      <c r="G49" s="1585"/>
      <c r="H49" s="1585"/>
      <c r="I49" s="1586"/>
    </row>
    <row r="50" spans="1:9" ht="12.65" customHeight="1">
      <c r="A50" s="649" t="s">
        <v>951</v>
      </c>
      <c r="B50" s="649"/>
      <c r="C50" s="649"/>
      <c r="D50" s="649"/>
      <c r="E50" s="649"/>
      <c r="F50" s="649"/>
      <c r="G50" s="649"/>
    </row>
    <row r="51" spans="1:9" ht="12.65" customHeight="1">
      <c r="A51" s="649" t="s">
        <v>982</v>
      </c>
    </row>
    <row r="52" spans="1:9" ht="19.149999999999999" customHeight="1">
      <c r="A52" s="1611" t="s">
        <v>981</v>
      </c>
      <c r="B52" s="1612"/>
      <c r="C52" s="1612"/>
      <c r="D52" s="1612"/>
      <c r="E52" s="1612"/>
      <c r="F52" s="1612"/>
      <c r="G52" s="1612"/>
      <c r="H52" s="1613"/>
      <c r="I52" s="646" t="s">
        <v>948</v>
      </c>
    </row>
    <row r="53" spans="1:9" ht="19.149999999999999" customHeight="1">
      <c r="A53" s="1624" t="s">
        <v>980</v>
      </c>
      <c r="B53" s="1625"/>
      <c r="C53" s="1625"/>
      <c r="D53" s="1625"/>
      <c r="E53" s="1625"/>
      <c r="F53" s="1625"/>
      <c r="G53" s="1625"/>
      <c r="H53" s="1625"/>
      <c r="I53" s="1626"/>
    </row>
    <row r="54" spans="1:9" s="720" customFormat="1" ht="17.649999999999999" customHeight="1">
      <c r="A54" s="727">
        <v>1</v>
      </c>
      <c r="B54" s="1588" t="s">
        <v>979</v>
      </c>
      <c r="C54" s="1588"/>
      <c r="D54" s="1588"/>
      <c r="E54" s="1588"/>
      <c r="F54" s="1588"/>
      <c r="G54" s="1588"/>
      <c r="H54" s="1589"/>
      <c r="I54" s="721"/>
    </row>
    <row r="55" spans="1:9" s="720" customFormat="1" ht="17.649999999999999" customHeight="1">
      <c r="A55" s="723">
        <v>2</v>
      </c>
      <c r="B55" s="1578" t="s">
        <v>978</v>
      </c>
      <c r="C55" s="1587"/>
      <c r="D55" s="1587"/>
      <c r="E55" s="1587"/>
      <c r="F55" s="1587"/>
      <c r="G55" s="1587"/>
      <c r="H55" s="1587"/>
      <c r="I55" s="721"/>
    </row>
    <row r="56" spans="1:9" s="720" customFormat="1" ht="17.649999999999999" customHeight="1">
      <c r="A56" s="723">
        <v>3</v>
      </c>
      <c r="B56" s="1577" t="s">
        <v>977</v>
      </c>
      <c r="C56" s="1577"/>
      <c r="D56" s="1577"/>
      <c r="E56" s="1577"/>
      <c r="F56" s="1577"/>
      <c r="G56" s="1577"/>
      <c r="H56" s="1578"/>
      <c r="I56" s="721"/>
    </row>
    <row r="57" spans="1:9" s="720" customFormat="1" ht="17.649999999999999" customHeight="1">
      <c r="A57" s="723">
        <v>4</v>
      </c>
      <c r="B57" s="1577" t="s">
        <v>976</v>
      </c>
      <c r="C57" s="1577"/>
      <c r="D57" s="1577"/>
      <c r="E57" s="1577"/>
      <c r="F57" s="1577"/>
      <c r="G57" s="1577"/>
      <c r="H57" s="1578"/>
      <c r="I57" s="721"/>
    </row>
    <row r="58" spans="1:9" s="720" customFormat="1" ht="17.649999999999999" customHeight="1">
      <c r="A58" s="723">
        <v>5</v>
      </c>
      <c r="B58" s="1577" t="s">
        <v>975</v>
      </c>
      <c r="C58" s="1577"/>
      <c r="D58" s="1577"/>
      <c r="E58" s="1577"/>
      <c r="F58" s="1577"/>
      <c r="G58" s="1577"/>
      <c r="H58" s="1578"/>
      <c r="I58" s="721"/>
    </row>
    <row r="59" spans="1:9" s="720" customFormat="1" ht="17.649999999999999" customHeight="1">
      <c r="A59" s="723">
        <v>6</v>
      </c>
      <c r="B59" s="1577" t="s">
        <v>974</v>
      </c>
      <c r="C59" s="1577"/>
      <c r="D59" s="1577"/>
      <c r="E59" s="1577"/>
      <c r="F59" s="1577"/>
      <c r="G59" s="1577"/>
      <c r="H59" s="1578"/>
      <c r="I59" s="721"/>
    </row>
    <row r="60" spans="1:9" s="720" customFormat="1" ht="17.649999999999999" customHeight="1">
      <c r="A60" s="726">
        <v>7</v>
      </c>
      <c r="B60" s="1578" t="s">
        <v>973</v>
      </c>
      <c r="C60" s="1587"/>
      <c r="D60" s="1587"/>
      <c r="E60" s="1587"/>
      <c r="F60" s="1587"/>
      <c r="G60" s="1587"/>
      <c r="H60" s="1587"/>
      <c r="I60" s="721"/>
    </row>
    <row r="61" spans="1:9" s="720" customFormat="1" ht="17.649999999999999" customHeight="1">
      <c r="A61" s="726">
        <v>8</v>
      </c>
      <c r="B61" s="1579" t="s">
        <v>972</v>
      </c>
      <c r="C61" s="1579"/>
      <c r="D61" s="1579"/>
      <c r="E61" s="1579"/>
      <c r="F61" s="1579"/>
      <c r="G61" s="1579"/>
      <c r="H61" s="1580"/>
      <c r="I61" s="721"/>
    </row>
    <row r="62" spans="1:9" ht="19.149999999999999" customHeight="1">
      <c r="A62" s="1624" t="s">
        <v>971</v>
      </c>
      <c r="B62" s="1625"/>
      <c r="C62" s="1625"/>
      <c r="D62" s="1625"/>
      <c r="E62" s="1625"/>
      <c r="F62" s="1625"/>
      <c r="G62" s="1625"/>
      <c r="H62" s="1625"/>
      <c r="I62" s="1626"/>
    </row>
    <row r="63" spans="1:9" s="720" customFormat="1" ht="17.649999999999999" customHeight="1">
      <c r="A63" s="727">
        <v>9</v>
      </c>
      <c r="B63" s="1588" t="s">
        <v>970</v>
      </c>
      <c r="C63" s="1588"/>
      <c r="D63" s="1588"/>
      <c r="E63" s="1588"/>
      <c r="F63" s="1588"/>
      <c r="G63" s="1588"/>
      <c r="H63" s="1589"/>
      <c r="I63" s="721"/>
    </row>
    <row r="64" spans="1:9" s="720" customFormat="1" ht="17.649999999999999" customHeight="1">
      <c r="A64" s="723">
        <v>10</v>
      </c>
      <c r="B64" s="1577" t="s">
        <v>969</v>
      </c>
      <c r="C64" s="1577"/>
      <c r="D64" s="1577"/>
      <c r="E64" s="1577"/>
      <c r="F64" s="1577"/>
      <c r="G64" s="1577"/>
      <c r="H64" s="1578"/>
      <c r="I64" s="721"/>
    </row>
    <row r="65" spans="1:9" s="720" customFormat="1" ht="17.649999999999999" customHeight="1">
      <c r="A65" s="723">
        <v>11</v>
      </c>
      <c r="B65" s="1577" t="s">
        <v>968</v>
      </c>
      <c r="C65" s="1577"/>
      <c r="D65" s="1577"/>
      <c r="E65" s="1577"/>
      <c r="F65" s="1577"/>
      <c r="G65" s="1577"/>
      <c r="H65" s="1578"/>
      <c r="I65" s="721"/>
    </row>
    <row r="66" spans="1:9" s="720" customFormat="1" ht="17.649999999999999" customHeight="1">
      <c r="A66" s="723">
        <v>12</v>
      </c>
      <c r="B66" s="1577" t="s">
        <v>967</v>
      </c>
      <c r="C66" s="1577"/>
      <c r="D66" s="1577"/>
      <c r="E66" s="1577"/>
      <c r="F66" s="1577"/>
      <c r="G66" s="1577"/>
      <c r="H66" s="1578"/>
      <c r="I66" s="721"/>
    </row>
    <row r="67" spans="1:9" s="720" customFormat="1" ht="30" customHeight="1">
      <c r="A67" s="723">
        <v>13</v>
      </c>
      <c r="B67" s="1590" t="s">
        <v>966</v>
      </c>
      <c r="C67" s="1590"/>
      <c r="D67" s="1590"/>
      <c r="E67" s="1590"/>
      <c r="F67" s="1590"/>
      <c r="G67" s="1590"/>
      <c r="H67" s="1591"/>
      <c r="I67" s="721"/>
    </row>
    <row r="68" spans="1:9" s="720" customFormat="1" ht="17.649999999999999" customHeight="1">
      <c r="A68" s="729">
        <v>14</v>
      </c>
      <c r="B68" s="1592" t="s">
        <v>965</v>
      </c>
      <c r="C68" s="1592"/>
      <c r="D68" s="1592"/>
      <c r="E68" s="1592"/>
      <c r="F68" s="1592"/>
      <c r="G68" s="1592"/>
      <c r="H68" s="1593"/>
      <c r="I68" s="721"/>
    </row>
    <row r="69" spans="1:9" ht="19.149999999999999" customHeight="1">
      <c r="A69" s="1531" t="s">
        <v>964</v>
      </c>
      <c r="B69" s="1532"/>
      <c r="C69" s="1532"/>
      <c r="D69" s="1532"/>
      <c r="E69" s="1532"/>
      <c r="F69" s="1532"/>
      <c r="G69" s="1532"/>
      <c r="H69" s="1532"/>
      <c r="I69" s="1533"/>
    </row>
    <row r="70" spans="1:9" ht="19.149999999999999" customHeight="1">
      <c r="A70" s="1597"/>
      <c r="B70" s="1598"/>
      <c r="C70" s="1598"/>
      <c r="D70" s="1598"/>
      <c r="E70" s="1598"/>
      <c r="F70" s="1598"/>
      <c r="G70" s="1598"/>
      <c r="H70" s="1598"/>
      <c r="I70" s="1599"/>
    </row>
    <row r="71" spans="1:9" ht="19.149999999999999" customHeight="1">
      <c r="A71" s="1600"/>
      <c r="B71" s="1601"/>
      <c r="C71" s="1601"/>
      <c r="D71" s="1601"/>
      <c r="E71" s="1601"/>
      <c r="F71" s="1601"/>
      <c r="G71" s="1601"/>
      <c r="H71" s="1601"/>
      <c r="I71" s="1602"/>
    </row>
    <row r="72" spans="1:9" ht="19.149999999999999" customHeight="1">
      <c r="A72" s="1600"/>
      <c r="B72" s="1601"/>
      <c r="C72" s="1601"/>
      <c r="D72" s="1601"/>
      <c r="E72" s="1601"/>
      <c r="F72" s="1601"/>
      <c r="G72" s="1601"/>
      <c r="H72" s="1601"/>
      <c r="I72" s="1602"/>
    </row>
    <row r="73" spans="1:9" ht="19.149999999999999" customHeight="1">
      <c r="A73" s="1603"/>
      <c r="B73" s="1604"/>
      <c r="C73" s="1604"/>
      <c r="D73" s="1604"/>
      <c r="E73" s="1604"/>
      <c r="F73" s="1604"/>
      <c r="G73" s="1604"/>
      <c r="H73" s="1604"/>
      <c r="I73" s="1605"/>
    </row>
    <row r="74" spans="1:9" ht="19.149999999999999" customHeight="1">
      <c r="A74" s="649" t="s">
        <v>963</v>
      </c>
      <c r="I74" s="728"/>
    </row>
    <row r="75" spans="1:9" ht="19.149999999999999" customHeight="1">
      <c r="A75" s="1611" t="s">
        <v>962</v>
      </c>
      <c r="B75" s="1612"/>
      <c r="C75" s="1612"/>
      <c r="D75" s="1612"/>
      <c r="E75" s="1612"/>
      <c r="F75" s="1612"/>
      <c r="G75" s="1612"/>
      <c r="H75" s="1613"/>
      <c r="I75" s="646" t="s">
        <v>948</v>
      </c>
    </row>
    <row r="76" spans="1:9" s="720" customFormat="1" ht="17.649999999999999" customHeight="1">
      <c r="A76" s="727">
        <v>1</v>
      </c>
      <c r="B76" s="1588" t="s">
        <v>961</v>
      </c>
      <c r="C76" s="1588"/>
      <c r="D76" s="1588"/>
      <c r="E76" s="1588"/>
      <c r="F76" s="1588"/>
      <c r="G76" s="1588"/>
      <c r="H76" s="1589"/>
      <c r="I76" s="721"/>
    </row>
    <row r="77" spans="1:9" s="720" customFormat="1" ht="17.649999999999999" customHeight="1">
      <c r="A77" s="723">
        <v>2</v>
      </c>
      <c r="B77" s="1577" t="s">
        <v>960</v>
      </c>
      <c r="C77" s="1577"/>
      <c r="D77" s="1577"/>
      <c r="E77" s="1577"/>
      <c r="F77" s="1577"/>
      <c r="G77" s="1577"/>
      <c r="H77" s="1578"/>
      <c r="I77" s="721"/>
    </row>
    <row r="78" spans="1:9" s="720" customFormat="1" ht="17.649999999999999" customHeight="1">
      <c r="A78" s="723">
        <v>3</v>
      </c>
      <c r="B78" s="1577" t="s">
        <v>959</v>
      </c>
      <c r="C78" s="1577"/>
      <c r="D78" s="1577"/>
      <c r="E78" s="1577"/>
      <c r="F78" s="1577"/>
      <c r="G78" s="1577"/>
      <c r="H78" s="1578"/>
      <c r="I78" s="721"/>
    </row>
    <row r="79" spans="1:9" s="720" customFormat="1" ht="17.649999999999999" customHeight="1">
      <c r="A79" s="723">
        <v>4</v>
      </c>
      <c r="B79" s="1577" t="s">
        <v>958</v>
      </c>
      <c r="C79" s="1577"/>
      <c r="D79" s="1577"/>
      <c r="E79" s="1577"/>
      <c r="F79" s="1577"/>
      <c r="G79" s="1577"/>
      <c r="H79" s="1578"/>
      <c r="I79" s="721"/>
    </row>
    <row r="80" spans="1:9" s="720" customFormat="1" ht="17.649999999999999" customHeight="1">
      <c r="A80" s="723">
        <v>5</v>
      </c>
      <c r="B80" s="1577" t="s">
        <v>957</v>
      </c>
      <c r="C80" s="1577"/>
      <c r="D80" s="1577"/>
      <c r="E80" s="1577"/>
      <c r="F80" s="1577"/>
      <c r="G80" s="1577"/>
      <c r="H80" s="1578"/>
      <c r="I80" s="721"/>
    </row>
    <row r="81" spans="1:9" s="720" customFormat="1" ht="17.649999999999999" customHeight="1">
      <c r="A81" s="723">
        <v>6</v>
      </c>
      <c r="B81" s="1577" t="s">
        <v>956</v>
      </c>
      <c r="C81" s="1577"/>
      <c r="D81" s="1577"/>
      <c r="E81" s="1577"/>
      <c r="F81" s="1577"/>
      <c r="G81" s="1577"/>
      <c r="H81" s="1578"/>
      <c r="I81" s="721"/>
    </row>
    <row r="82" spans="1:9" s="720" customFormat="1" ht="17.649999999999999" customHeight="1">
      <c r="A82" s="723">
        <v>7</v>
      </c>
      <c r="B82" s="1577" t="s">
        <v>955</v>
      </c>
      <c r="C82" s="1577"/>
      <c r="D82" s="1577"/>
      <c r="E82" s="1577"/>
      <c r="F82" s="1577"/>
      <c r="G82" s="1577"/>
      <c r="H82" s="1578"/>
      <c r="I82" s="721"/>
    </row>
    <row r="83" spans="1:9" s="720" customFormat="1" ht="17.649999999999999" customHeight="1">
      <c r="A83" s="723">
        <v>8</v>
      </c>
      <c r="B83" s="1577" t="s">
        <v>954</v>
      </c>
      <c r="C83" s="1577"/>
      <c r="D83" s="1577"/>
      <c r="E83" s="1577"/>
      <c r="F83" s="1577"/>
      <c r="G83" s="1577"/>
      <c r="H83" s="1578"/>
      <c r="I83" s="721"/>
    </row>
    <row r="84" spans="1:9" s="720" customFormat="1" ht="17.649999999999999" customHeight="1">
      <c r="A84" s="726">
        <v>9</v>
      </c>
      <c r="B84" s="1579" t="s">
        <v>953</v>
      </c>
      <c r="C84" s="1579"/>
      <c r="D84" s="1579"/>
      <c r="E84" s="1579"/>
      <c r="F84" s="1579"/>
      <c r="G84" s="1579"/>
      <c r="H84" s="1580"/>
      <c r="I84" s="721"/>
    </row>
    <row r="85" spans="1:9" ht="19.149999999999999" customHeight="1">
      <c r="A85" s="1594" t="s">
        <v>952</v>
      </c>
      <c r="B85" s="1595"/>
      <c r="C85" s="1595"/>
      <c r="D85" s="1595"/>
      <c r="E85" s="1595"/>
      <c r="F85" s="1595"/>
      <c r="G85" s="1595"/>
      <c r="H85" s="1595"/>
      <c r="I85" s="1596"/>
    </row>
    <row r="86" spans="1:9" ht="19.149999999999999" customHeight="1">
      <c r="A86" s="1597"/>
      <c r="B86" s="1598"/>
      <c r="C86" s="1598"/>
      <c r="D86" s="1598"/>
      <c r="E86" s="1598"/>
      <c r="F86" s="1598"/>
      <c r="G86" s="1598"/>
      <c r="H86" s="1598"/>
      <c r="I86" s="1599"/>
    </row>
    <row r="87" spans="1:9" ht="19.149999999999999" customHeight="1">
      <c r="A87" s="1600"/>
      <c r="B87" s="1601"/>
      <c r="C87" s="1601"/>
      <c r="D87" s="1601"/>
      <c r="E87" s="1601"/>
      <c r="F87" s="1601"/>
      <c r="G87" s="1601"/>
      <c r="H87" s="1601"/>
      <c r="I87" s="1602"/>
    </row>
    <row r="88" spans="1:9" ht="19.149999999999999" customHeight="1">
      <c r="A88" s="1600"/>
      <c r="B88" s="1601"/>
      <c r="C88" s="1601"/>
      <c r="D88" s="1601"/>
      <c r="E88" s="1601"/>
      <c r="F88" s="1601"/>
      <c r="G88" s="1601"/>
      <c r="H88" s="1601"/>
      <c r="I88" s="1602"/>
    </row>
    <row r="89" spans="1:9" ht="19.149999999999999" customHeight="1">
      <c r="A89" s="1603"/>
      <c r="B89" s="1604"/>
      <c r="C89" s="1604"/>
      <c r="D89" s="1604"/>
      <c r="E89" s="1604"/>
      <c r="F89" s="1604"/>
      <c r="G89" s="1604"/>
      <c r="H89" s="1604"/>
      <c r="I89" s="1605"/>
    </row>
    <row r="90" spans="1:9" ht="13.15" customHeight="1">
      <c r="A90" s="649" t="s">
        <v>951</v>
      </c>
      <c r="B90" s="649"/>
      <c r="C90" s="649"/>
      <c r="D90" s="649"/>
      <c r="E90" s="649"/>
      <c r="F90" s="649"/>
      <c r="G90" s="649"/>
    </row>
    <row r="91" spans="1:9" ht="13.15" customHeight="1">
      <c r="A91" s="649" t="s">
        <v>950</v>
      </c>
      <c r="H91" s="725"/>
    </row>
    <row r="92" spans="1:9" ht="19.149999999999999" customHeight="1">
      <c r="A92" s="1608" t="s">
        <v>949</v>
      </c>
      <c r="B92" s="1609"/>
      <c r="C92" s="1609"/>
      <c r="D92" s="1609"/>
      <c r="E92" s="1609"/>
      <c r="F92" s="1609"/>
      <c r="G92" s="1609"/>
      <c r="H92" s="1610"/>
      <c r="I92" s="646" t="s">
        <v>948</v>
      </c>
    </row>
    <row r="93" spans="1:9" s="720" customFormat="1" ht="17.649999999999999" customHeight="1">
      <c r="A93" s="724">
        <v>1</v>
      </c>
      <c r="B93" s="1606" t="s">
        <v>947</v>
      </c>
      <c r="C93" s="1606"/>
      <c r="D93" s="1606"/>
      <c r="E93" s="1606"/>
      <c r="F93" s="1606"/>
      <c r="G93" s="1606"/>
      <c r="H93" s="1607"/>
      <c r="I93" s="721"/>
    </row>
    <row r="94" spans="1:9" s="720" customFormat="1" ht="30" customHeight="1">
      <c r="A94" s="723">
        <v>2</v>
      </c>
      <c r="B94" s="1590" t="s">
        <v>946</v>
      </c>
      <c r="C94" s="1590"/>
      <c r="D94" s="1590"/>
      <c r="E94" s="1590"/>
      <c r="F94" s="1590"/>
      <c r="G94" s="1590"/>
      <c r="H94" s="1591"/>
      <c r="I94" s="721"/>
    </row>
    <row r="95" spans="1:9" s="720" customFormat="1" ht="17.649999999999999" customHeight="1">
      <c r="A95" s="723">
        <v>3</v>
      </c>
      <c r="B95" s="1577" t="s">
        <v>945</v>
      </c>
      <c r="C95" s="1577"/>
      <c r="D95" s="1577"/>
      <c r="E95" s="1577"/>
      <c r="F95" s="1577"/>
      <c r="G95" s="1577"/>
      <c r="H95" s="1578"/>
      <c r="I95" s="721"/>
    </row>
    <row r="96" spans="1:9" s="720" customFormat="1" ht="17.649999999999999" customHeight="1">
      <c r="A96" s="723">
        <v>4</v>
      </c>
      <c r="B96" s="1578" t="s">
        <v>944</v>
      </c>
      <c r="C96" s="1587"/>
      <c r="D96" s="1587"/>
      <c r="E96" s="1587"/>
      <c r="F96" s="1587"/>
      <c r="G96" s="1587"/>
      <c r="H96" s="1587"/>
      <c r="I96" s="721"/>
    </row>
    <row r="97" spans="1:9" s="720" customFormat="1" ht="17.649999999999999" customHeight="1">
      <c r="A97" s="723">
        <v>5</v>
      </c>
      <c r="B97" s="1577" t="s">
        <v>1202</v>
      </c>
      <c r="C97" s="1577"/>
      <c r="D97" s="1577"/>
      <c r="E97" s="1577"/>
      <c r="F97" s="1577"/>
      <c r="G97" s="1577"/>
      <c r="H97" s="1578"/>
      <c r="I97" s="721"/>
    </row>
    <row r="98" spans="1:9" s="720" customFormat="1" ht="17.649999999999999" customHeight="1">
      <c r="A98" s="723">
        <v>6</v>
      </c>
      <c r="B98" s="1578" t="s">
        <v>943</v>
      </c>
      <c r="C98" s="1587"/>
      <c r="D98" s="1587"/>
      <c r="E98" s="1587"/>
      <c r="F98" s="1587"/>
      <c r="G98" s="1587"/>
      <c r="H98" s="1587"/>
      <c r="I98" s="721"/>
    </row>
    <row r="99" spans="1:9" s="720" customFormat="1" ht="17.649999999999999" customHeight="1">
      <c r="A99" s="723">
        <v>7</v>
      </c>
      <c r="B99" s="1577" t="s">
        <v>942</v>
      </c>
      <c r="C99" s="1577"/>
      <c r="D99" s="1577"/>
      <c r="E99" s="1577"/>
      <c r="F99" s="1577"/>
      <c r="G99" s="1577"/>
      <c r="H99" s="1578"/>
      <c r="I99" s="721"/>
    </row>
    <row r="100" spans="1:9" s="720" customFormat="1" ht="17.649999999999999" customHeight="1">
      <c r="A100" s="723">
        <v>8</v>
      </c>
      <c r="B100" s="1577" t="s">
        <v>941</v>
      </c>
      <c r="C100" s="1577"/>
      <c r="D100" s="1577"/>
      <c r="E100" s="1577"/>
      <c r="F100" s="1577"/>
      <c r="G100" s="1577"/>
      <c r="H100" s="1578"/>
      <c r="I100" s="721"/>
    </row>
    <row r="101" spans="1:9" s="720" customFormat="1" ht="17.649999999999999" customHeight="1">
      <c r="A101" s="723">
        <v>9</v>
      </c>
      <c r="B101" s="1577" t="s">
        <v>940</v>
      </c>
      <c r="C101" s="1577"/>
      <c r="D101" s="1577"/>
      <c r="E101" s="1577"/>
      <c r="F101" s="1577"/>
      <c r="G101" s="1577"/>
      <c r="H101" s="1578"/>
      <c r="I101" s="721"/>
    </row>
    <row r="102" spans="1:9" s="720" customFormat="1" ht="17.649999999999999" customHeight="1">
      <c r="A102" s="723">
        <v>10</v>
      </c>
      <c r="B102" s="1577" t="s">
        <v>939</v>
      </c>
      <c r="C102" s="1577"/>
      <c r="D102" s="1577"/>
      <c r="E102" s="1577"/>
      <c r="F102" s="1577"/>
      <c r="G102" s="1577"/>
      <c r="H102" s="1578"/>
      <c r="I102" s="721"/>
    </row>
    <row r="103" spans="1:9" s="720" customFormat="1" ht="17.649999999999999" customHeight="1">
      <c r="A103" s="723">
        <v>11</v>
      </c>
      <c r="B103" s="1577" t="s">
        <v>938</v>
      </c>
      <c r="C103" s="1577"/>
      <c r="D103" s="1577"/>
      <c r="E103" s="1577"/>
      <c r="F103" s="1577"/>
      <c r="G103" s="1577"/>
      <c r="H103" s="1578"/>
      <c r="I103" s="721"/>
    </row>
    <row r="104" spans="1:9" s="720" customFormat="1" ht="17.649999999999999" customHeight="1">
      <c r="A104" s="722">
        <v>12</v>
      </c>
      <c r="B104" s="1579" t="s">
        <v>937</v>
      </c>
      <c r="C104" s="1579"/>
      <c r="D104" s="1579"/>
      <c r="E104" s="1579"/>
      <c r="F104" s="1579"/>
      <c r="G104" s="1579"/>
      <c r="H104" s="1580"/>
      <c r="I104" s="721"/>
    </row>
    <row r="105" spans="1:9" ht="19.149999999999999" customHeight="1">
      <c r="A105" s="1531" t="s">
        <v>936</v>
      </c>
      <c r="B105" s="1532"/>
      <c r="C105" s="1532"/>
      <c r="D105" s="1532"/>
      <c r="E105" s="1532"/>
      <c r="F105" s="1532"/>
      <c r="G105" s="1532"/>
      <c r="H105" s="1532"/>
      <c r="I105" s="1533"/>
    </row>
    <row r="106" spans="1:9" ht="19.149999999999999" customHeight="1">
      <c r="A106" s="1597"/>
      <c r="B106" s="1598"/>
      <c r="C106" s="1598"/>
      <c r="D106" s="1598"/>
      <c r="E106" s="1598"/>
      <c r="F106" s="1598"/>
      <c r="G106" s="1598"/>
      <c r="H106" s="1598"/>
      <c r="I106" s="1599"/>
    </row>
    <row r="107" spans="1:9" ht="19.149999999999999" customHeight="1">
      <c r="A107" s="1600"/>
      <c r="B107" s="1601"/>
      <c r="C107" s="1601"/>
      <c r="D107" s="1601"/>
      <c r="E107" s="1601"/>
      <c r="F107" s="1601"/>
      <c r="G107" s="1601"/>
      <c r="H107" s="1601"/>
      <c r="I107" s="1602"/>
    </row>
    <row r="108" spans="1:9" ht="19.149999999999999" customHeight="1">
      <c r="A108" s="1600"/>
      <c r="B108" s="1601"/>
      <c r="C108" s="1601"/>
      <c r="D108" s="1601"/>
      <c r="E108" s="1601"/>
      <c r="F108" s="1601"/>
      <c r="G108" s="1601"/>
      <c r="H108" s="1601"/>
      <c r="I108" s="1602"/>
    </row>
    <row r="109" spans="1:9" ht="19.149999999999999" customHeight="1">
      <c r="A109" s="1603"/>
      <c r="B109" s="1604"/>
      <c r="C109" s="1604"/>
      <c r="D109" s="1604"/>
      <c r="E109" s="1604"/>
      <c r="F109" s="1604"/>
      <c r="G109" s="1604"/>
      <c r="H109" s="1604"/>
      <c r="I109" s="1605"/>
    </row>
  </sheetData>
  <mergeCells count="90">
    <mergeCell ref="A106:I109"/>
    <mergeCell ref="A32:I32"/>
    <mergeCell ref="A45:I45"/>
    <mergeCell ref="A53:I53"/>
    <mergeCell ref="A62:I62"/>
    <mergeCell ref="B42:H42"/>
    <mergeCell ref="B41:H41"/>
    <mergeCell ref="B83:H83"/>
    <mergeCell ref="A69:I69"/>
    <mergeCell ref="A70:I73"/>
    <mergeCell ref="B58:H58"/>
    <mergeCell ref="B77:H77"/>
    <mergeCell ref="B82:H82"/>
    <mergeCell ref="B63:H63"/>
    <mergeCell ref="B64:H64"/>
    <mergeCell ref="B39:H39"/>
    <mergeCell ref="B34:H34"/>
    <mergeCell ref="B25:H25"/>
    <mergeCell ref="A105:I105"/>
    <mergeCell ref="B26:H26"/>
    <mergeCell ref="B27:H27"/>
    <mergeCell ref="B28:H28"/>
    <mergeCell ref="B31:H31"/>
    <mergeCell ref="B55:H55"/>
    <mergeCell ref="A52:H52"/>
    <mergeCell ref="B57:H57"/>
    <mergeCell ref="B54:H54"/>
    <mergeCell ref="B37:H37"/>
    <mergeCell ref="B36:H36"/>
    <mergeCell ref="B38:H38"/>
    <mergeCell ref="B35:H35"/>
    <mergeCell ref="B40:H40"/>
    <mergeCell ref="A11:I11"/>
    <mergeCell ref="B21:H21"/>
    <mergeCell ref="B20:H20"/>
    <mergeCell ref="A24:I24"/>
    <mergeCell ref="B22:H22"/>
    <mergeCell ref="B23:H23"/>
    <mergeCell ref="A3:H3"/>
    <mergeCell ref="B19:H19"/>
    <mergeCell ref="B13:H13"/>
    <mergeCell ref="B14:H14"/>
    <mergeCell ref="B16:H16"/>
    <mergeCell ref="B17:H17"/>
    <mergeCell ref="B18:H18"/>
    <mergeCell ref="B12:H12"/>
    <mergeCell ref="B5:H5"/>
    <mergeCell ref="B6:H6"/>
    <mergeCell ref="B7:H7"/>
    <mergeCell ref="B8:H8"/>
    <mergeCell ref="B9:H9"/>
    <mergeCell ref="B10:H10"/>
    <mergeCell ref="B15:H15"/>
    <mergeCell ref="A4:I4"/>
    <mergeCell ref="B29:H29"/>
    <mergeCell ref="B102:H102"/>
    <mergeCell ref="B95:H95"/>
    <mergeCell ref="B65:H65"/>
    <mergeCell ref="A85:I85"/>
    <mergeCell ref="A86:I89"/>
    <mergeCell ref="B94:H94"/>
    <mergeCell ref="B93:H93"/>
    <mergeCell ref="A92:H92"/>
    <mergeCell ref="B59:H59"/>
    <mergeCell ref="B61:H61"/>
    <mergeCell ref="A75:H75"/>
    <mergeCell ref="B30:H30"/>
    <mergeCell ref="B84:H84"/>
    <mergeCell ref="B33:H33"/>
    <mergeCell ref="B78:H78"/>
    <mergeCell ref="B103:H103"/>
    <mergeCell ref="B104:H104"/>
    <mergeCell ref="B99:H99"/>
    <mergeCell ref="B96:H96"/>
    <mergeCell ref="B97:H97"/>
    <mergeCell ref="B98:H98"/>
    <mergeCell ref="B100:H100"/>
    <mergeCell ref="B101:H101"/>
    <mergeCell ref="B79:H79"/>
    <mergeCell ref="B80:H80"/>
    <mergeCell ref="B81:H81"/>
    <mergeCell ref="B43:H43"/>
    <mergeCell ref="A46:I49"/>
    <mergeCell ref="B44:H44"/>
    <mergeCell ref="B60:H60"/>
    <mergeCell ref="B76:H76"/>
    <mergeCell ref="B66:H66"/>
    <mergeCell ref="B67:H67"/>
    <mergeCell ref="B68:H68"/>
    <mergeCell ref="B56:H56"/>
  </mergeCells>
  <phoneticPr fontId="2"/>
  <conditionalFormatting sqref="I5:I10 I12:I23 I25:I31 I33:I44 I54:I61 I63:I68 I76:I84 I93:I104">
    <cfRule type="containsBlanks" dxfId="100" priority="1">
      <formula>LEN(TRIM(I5))=0</formula>
    </cfRule>
  </conditionalFormatting>
  <dataValidations count="1">
    <dataValidation type="list" allowBlank="1" showInputMessage="1" showErrorMessage="1" sqref="I5:I10 I93:I104 I25:I31 I12:I23 I54:I61 I63:I68 I76:I84 I33:I44" xr:uid="{00000000-0002-0000-0400-000000000000}">
      <formula1>"○,△,×,／"</formula1>
    </dataValidation>
  </dataValidations>
  <printOptions horizontalCentered="1"/>
  <pageMargins left="0.70866141732283472" right="0.70866141732283472" top="0.74803149606299213" bottom="0.74803149606299213" header="0.31496062992125984" footer="0.31496062992125984"/>
  <pageSetup paperSize="9" scale="85" fitToHeight="0" orientation="portrait" r:id="rId1"/>
  <rowBreaks count="3" manualBreakCount="3">
    <brk id="31" max="16383" man="1"/>
    <brk id="49" max="8" man="1"/>
    <brk id="8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DEACE-8425-4849-B7E1-9EEBD8DEC359}">
  <sheetPr>
    <tabColor rgb="FFFFFF00"/>
  </sheetPr>
  <dimension ref="A1:I134"/>
  <sheetViews>
    <sheetView showGridLines="0" zoomScaleNormal="100" zoomScaleSheetLayoutView="115" workbookViewId="0"/>
  </sheetViews>
  <sheetFormatPr defaultColWidth="8.08203125" defaultRowHeight="19.149999999999999" customHeight="1"/>
  <cols>
    <col min="1" max="1" width="4.83203125" style="653" customWidth="1"/>
    <col min="2" max="6" width="8.08203125" style="653"/>
    <col min="7" max="7" width="8.08203125" style="653" customWidth="1"/>
    <col min="8" max="8" width="21" style="653" customWidth="1"/>
    <col min="9" max="9" width="10.25" style="719" customWidth="1"/>
    <col min="10" max="16384" width="8.08203125" style="653"/>
  </cols>
  <sheetData>
    <row r="1" spans="1:9" ht="13.15" customHeight="1">
      <c r="A1" s="649" t="s">
        <v>1028</v>
      </c>
      <c r="B1" s="649"/>
      <c r="C1" s="649"/>
      <c r="D1" s="649"/>
      <c r="E1" s="649"/>
      <c r="F1" s="649"/>
      <c r="G1" s="649"/>
    </row>
    <row r="2" spans="1:9" ht="13.15" customHeight="1">
      <c r="A2" s="649" t="s">
        <v>1027</v>
      </c>
    </row>
    <row r="3" spans="1:9" ht="19.149999999999999" customHeight="1">
      <c r="A3" s="1531" t="s">
        <v>1026</v>
      </c>
      <c r="B3" s="1532"/>
      <c r="C3" s="1532"/>
      <c r="D3" s="1532"/>
      <c r="E3" s="1532"/>
      <c r="F3" s="1532"/>
      <c r="G3" s="1532"/>
      <c r="H3" s="1532"/>
      <c r="I3" s="646" t="s">
        <v>948</v>
      </c>
    </row>
    <row r="4" spans="1:9" ht="19.149999999999999" customHeight="1">
      <c r="A4" s="1673" t="s">
        <v>1025</v>
      </c>
      <c r="B4" s="1674"/>
      <c r="C4" s="1674"/>
      <c r="D4" s="1674"/>
      <c r="E4" s="1674"/>
      <c r="F4" s="1674"/>
      <c r="G4" s="1674"/>
      <c r="H4" s="1674"/>
      <c r="I4" s="1675"/>
    </row>
    <row r="5" spans="1:9" s="720" customFormat="1" ht="17.649999999999999" customHeight="1">
      <c r="A5" s="724">
        <v>1</v>
      </c>
      <c r="B5" s="1620" t="s">
        <v>1024</v>
      </c>
      <c r="C5" s="1620"/>
      <c r="D5" s="1620"/>
      <c r="E5" s="1620"/>
      <c r="F5" s="1620"/>
      <c r="G5" s="1620"/>
      <c r="H5" s="1621"/>
      <c r="I5" s="734"/>
    </row>
    <row r="6" spans="1:9" s="720" customFormat="1" ht="17.649999999999999" customHeight="1">
      <c r="A6" s="723">
        <v>2</v>
      </c>
      <c r="B6" s="1614" t="s">
        <v>1023</v>
      </c>
      <c r="C6" s="1614" t="s">
        <v>1023</v>
      </c>
      <c r="D6" s="1614" t="s">
        <v>1023</v>
      </c>
      <c r="E6" s="1614" t="s">
        <v>1023</v>
      </c>
      <c r="F6" s="1614" t="s">
        <v>1023</v>
      </c>
      <c r="G6" s="1614" t="s">
        <v>1023</v>
      </c>
      <c r="H6" s="1615" t="s">
        <v>1023</v>
      </c>
      <c r="I6" s="732"/>
    </row>
    <row r="7" spans="1:9" s="720" customFormat="1" ht="17.649999999999999" customHeight="1">
      <c r="A7" s="723">
        <v>3</v>
      </c>
      <c r="B7" s="1614" t="s">
        <v>1029</v>
      </c>
      <c r="C7" s="1614" t="s">
        <v>1021</v>
      </c>
      <c r="D7" s="1614" t="s">
        <v>1021</v>
      </c>
      <c r="E7" s="1614" t="s">
        <v>1021</v>
      </c>
      <c r="F7" s="1614" t="s">
        <v>1021</v>
      </c>
      <c r="G7" s="1614" t="s">
        <v>1021</v>
      </c>
      <c r="H7" s="1615" t="s">
        <v>1021</v>
      </c>
      <c r="I7" s="732"/>
    </row>
    <row r="8" spans="1:9" s="720" customFormat="1" ht="17.649999999999999" customHeight="1">
      <c r="A8" s="723">
        <v>4</v>
      </c>
      <c r="B8" s="1614" t="s">
        <v>1020</v>
      </c>
      <c r="C8" s="1614" t="s">
        <v>1020</v>
      </c>
      <c r="D8" s="1614" t="s">
        <v>1020</v>
      </c>
      <c r="E8" s="1614" t="s">
        <v>1020</v>
      </c>
      <c r="F8" s="1614" t="s">
        <v>1020</v>
      </c>
      <c r="G8" s="1614" t="s">
        <v>1020</v>
      </c>
      <c r="H8" s="1615" t="s">
        <v>1020</v>
      </c>
      <c r="I8" s="732"/>
    </row>
    <row r="9" spans="1:9" s="720" customFormat="1" ht="17.649999999999999" customHeight="1">
      <c r="A9" s="723">
        <v>5</v>
      </c>
      <c r="B9" s="1614" t="s">
        <v>1019</v>
      </c>
      <c r="C9" s="1614" t="s">
        <v>1018</v>
      </c>
      <c r="D9" s="1614" t="s">
        <v>1018</v>
      </c>
      <c r="E9" s="1614" t="s">
        <v>1018</v>
      </c>
      <c r="F9" s="1614" t="s">
        <v>1018</v>
      </c>
      <c r="G9" s="1614" t="s">
        <v>1018</v>
      </c>
      <c r="H9" s="1615" t="s">
        <v>1018</v>
      </c>
      <c r="I9" s="732"/>
    </row>
    <row r="10" spans="1:9" s="720" customFormat="1" ht="17.649999999999999" customHeight="1">
      <c r="A10" s="723">
        <v>6</v>
      </c>
      <c r="B10" s="1614" t="s">
        <v>1030</v>
      </c>
      <c r="C10" s="1614" t="s">
        <v>1016</v>
      </c>
      <c r="D10" s="1614" t="s">
        <v>1016</v>
      </c>
      <c r="E10" s="1614" t="s">
        <v>1016</v>
      </c>
      <c r="F10" s="1614" t="s">
        <v>1016</v>
      </c>
      <c r="G10" s="1614" t="s">
        <v>1016</v>
      </c>
      <c r="H10" s="1615" t="s">
        <v>1016</v>
      </c>
      <c r="I10" s="732"/>
    </row>
    <row r="11" spans="1:9" s="720" customFormat="1" ht="17.649999999999999" customHeight="1">
      <c r="A11" s="729">
        <v>7</v>
      </c>
      <c r="B11" s="1669" t="s">
        <v>1031</v>
      </c>
      <c r="C11" s="1669"/>
      <c r="D11" s="1669"/>
      <c r="E11" s="1669"/>
      <c r="F11" s="1669"/>
      <c r="G11" s="1669"/>
      <c r="H11" s="1670"/>
      <c r="I11" s="735"/>
    </row>
    <row r="12" spans="1:9" ht="19.149999999999999" customHeight="1">
      <c r="A12" s="1627" t="s">
        <v>1015</v>
      </c>
      <c r="B12" s="1628"/>
      <c r="C12" s="1628"/>
      <c r="D12" s="1628"/>
      <c r="E12" s="1628"/>
      <c r="F12" s="1628"/>
      <c r="G12" s="1628"/>
      <c r="H12" s="1628"/>
      <c r="I12" s="1629"/>
    </row>
    <row r="13" spans="1:9" s="720" customFormat="1" ht="17.649999999999999" customHeight="1">
      <c r="A13" s="724">
        <v>8</v>
      </c>
      <c r="B13" s="1671" t="s">
        <v>1014</v>
      </c>
      <c r="C13" s="1671"/>
      <c r="D13" s="1671"/>
      <c r="E13" s="1671"/>
      <c r="F13" s="1671"/>
      <c r="G13" s="1671"/>
      <c r="H13" s="1672"/>
      <c r="I13" s="734"/>
    </row>
    <row r="14" spans="1:9" s="720" customFormat="1" ht="17.649999999999999" customHeight="1">
      <c r="A14" s="723">
        <v>9</v>
      </c>
      <c r="B14" s="1616" t="s">
        <v>1013</v>
      </c>
      <c r="C14" s="1616"/>
      <c r="D14" s="1616"/>
      <c r="E14" s="1616"/>
      <c r="F14" s="1616"/>
      <c r="G14" s="1616"/>
      <c r="H14" s="1617"/>
      <c r="I14" s="732"/>
    </row>
    <row r="15" spans="1:9" s="720" customFormat="1" ht="17.649999999999999" customHeight="1">
      <c r="A15" s="723">
        <v>10</v>
      </c>
      <c r="B15" s="1577" t="s">
        <v>1012</v>
      </c>
      <c r="C15" s="1577"/>
      <c r="D15" s="1577"/>
      <c r="E15" s="1577"/>
      <c r="F15" s="1577"/>
      <c r="G15" s="1577"/>
      <c r="H15" s="1578"/>
      <c r="I15" s="732"/>
    </row>
    <row r="16" spans="1:9" s="720" customFormat="1" ht="17.649999999999999" customHeight="1">
      <c r="A16" s="723">
        <v>11</v>
      </c>
      <c r="B16" s="1577" t="s">
        <v>1011</v>
      </c>
      <c r="C16" s="1577"/>
      <c r="D16" s="1577"/>
      <c r="E16" s="1577"/>
      <c r="F16" s="1577"/>
      <c r="G16" s="1577"/>
      <c r="H16" s="1578"/>
      <c r="I16" s="732"/>
    </row>
    <row r="17" spans="1:9" s="720" customFormat="1" ht="17.649999999999999" customHeight="1">
      <c r="A17" s="723">
        <v>12</v>
      </c>
      <c r="B17" s="1577" t="s">
        <v>1010</v>
      </c>
      <c r="C17" s="1577"/>
      <c r="D17" s="1577"/>
      <c r="E17" s="1577"/>
      <c r="F17" s="1577"/>
      <c r="G17" s="1577"/>
      <c r="H17" s="1578"/>
      <c r="I17" s="732"/>
    </row>
    <row r="18" spans="1:9" s="720" customFormat="1" ht="17.649999999999999" customHeight="1">
      <c r="A18" s="723">
        <v>13</v>
      </c>
      <c r="B18" s="1577" t="s">
        <v>1009</v>
      </c>
      <c r="C18" s="1577"/>
      <c r="D18" s="1577"/>
      <c r="E18" s="1577"/>
      <c r="F18" s="1577"/>
      <c r="G18" s="1577"/>
      <c r="H18" s="1578"/>
      <c r="I18" s="732"/>
    </row>
    <row r="19" spans="1:9" s="720" customFormat="1" ht="17.649999999999999" customHeight="1">
      <c r="A19" s="723">
        <v>14</v>
      </c>
      <c r="B19" s="1577" t="s">
        <v>1008</v>
      </c>
      <c r="C19" s="1577"/>
      <c r="D19" s="1577"/>
      <c r="E19" s="1577"/>
      <c r="F19" s="1577"/>
      <c r="G19" s="1577"/>
      <c r="H19" s="1578"/>
      <c r="I19" s="732"/>
    </row>
    <row r="20" spans="1:9" s="720" customFormat="1" ht="30" customHeight="1">
      <c r="A20" s="723">
        <v>15</v>
      </c>
      <c r="B20" s="1614" t="s">
        <v>1007</v>
      </c>
      <c r="C20" s="1614"/>
      <c r="D20" s="1614"/>
      <c r="E20" s="1614"/>
      <c r="F20" s="1614"/>
      <c r="G20" s="1614"/>
      <c r="H20" s="1615"/>
      <c r="I20" s="732"/>
    </row>
    <row r="21" spans="1:9" s="720" customFormat="1" ht="18" customHeight="1">
      <c r="A21" s="723">
        <v>16</v>
      </c>
      <c r="B21" s="1615" t="s">
        <v>1006</v>
      </c>
      <c r="C21" s="1668"/>
      <c r="D21" s="1668"/>
      <c r="E21" s="1668"/>
      <c r="F21" s="1668"/>
      <c r="G21" s="1668"/>
      <c r="H21" s="1668"/>
      <c r="I21" s="732"/>
    </row>
    <row r="22" spans="1:9" s="720" customFormat="1" ht="17.649999999999999" customHeight="1">
      <c r="A22" s="723">
        <v>17</v>
      </c>
      <c r="B22" s="1577" t="s">
        <v>1005</v>
      </c>
      <c r="C22" s="1577"/>
      <c r="D22" s="1577"/>
      <c r="E22" s="1577"/>
      <c r="F22" s="1577"/>
      <c r="G22" s="1577"/>
      <c r="H22" s="1578"/>
      <c r="I22" s="732"/>
    </row>
    <row r="23" spans="1:9" s="720" customFormat="1" ht="30" customHeight="1">
      <c r="A23" s="723">
        <v>18</v>
      </c>
      <c r="B23" s="1590" t="s">
        <v>1032</v>
      </c>
      <c r="C23" s="1590"/>
      <c r="D23" s="1590"/>
      <c r="E23" s="1590"/>
      <c r="F23" s="1590"/>
      <c r="G23" s="1590"/>
      <c r="H23" s="1591"/>
      <c r="I23" s="732"/>
    </row>
    <row r="24" spans="1:9" s="720" customFormat="1" ht="16.899999999999999" customHeight="1">
      <c r="A24" s="723">
        <v>19</v>
      </c>
      <c r="B24" s="1590" t="s">
        <v>1033</v>
      </c>
      <c r="C24" s="1590"/>
      <c r="D24" s="1590"/>
      <c r="E24" s="1590"/>
      <c r="F24" s="1590"/>
      <c r="G24" s="1590"/>
      <c r="H24" s="1591"/>
      <c r="I24" s="732"/>
    </row>
    <row r="25" spans="1:9" s="720" customFormat="1" ht="17.5" customHeight="1">
      <c r="A25" s="723">
        <v>20</v>
      </c>
      <c r="B25" s="1590" t="s">
        <v>1034</v>
      </c>
      <c r="C25" s="1590"/>
      <c r="D25" s="1590"/>
      <c r="E25" s="1590"/>
      <c r="F25" s="1590"/>
      <c r="G25" s="1590"/>
      <c r="H25" s="1591"/>
      <c r="I25" s="732"/>
    </row>
    <row r="26" spans="1:9" s="720" customFormat="1" ht="30" customHeight="1">
      <c r="A26" s="723">
        <v>21</v>
      </c>
      <c r="B26" s="1590" t="s">
        <v>1035</v>
      </c>
      <c r="C26" s="1590"/>
      <c r="D26" s="1590"/>
      <c r="E26" s="1590"/>
      <c r="F26" s="1590"/>
      <c r="G26" s="1590"/>
      <c r="H26" s="1591"/>
      <c r="I26" s="732"/>
    </row>
    <row r="27" spans="1:9" s="720" customFormat="1" ht="17.649999999999999" customHeight="1">
      <c r="A27" s="723">
        <v>22</v>
      </c>
      <c r="B27" s="1577" t="s">
        <v>1036</v>
      </c>
      <c r="C27" s="1577"/>
      <c r="D27" s="1577"/>
      <c r="E27" s="1577"/>
      <c r="F27" s="1577"/>
      <c r="G27" s="1577"/>
      <c r="H27" s="1578"/>
      <c r="I27" s="732"/>
    </row>
    <row r="28" spans="1:9" s="720" customFormat="1" ht="17.649999999999999" customHeight="1">
      <c r="A28" s="723">
        <v>23</v>
      </c>
      <c r="B28" s="1577" t="s">
        <v>1037</v>
      </c>
      <c r="C28" s="1577"/>
      <c r="D28" s="1577"/>
      <c r="E28" s="1577"/>
      <c r="F28" s="1577"/>
      <c r="G28" s="1577"/>
      <c r="H28" s="1578"/>
      <c r="I28" s="732"/>
    </row>
    <row r="29" spans="1:9" s="720" customFormat="1" ht="30" customHeight="1">
      <c r="A29" s="726">
        <v>24</v>
      </c>
      <c r="B29" s="1630" t="s">
        <v>1004</v>
      </c>
      <c r="C29" s="1630"/>
      <c r="D29" s="1630"/>
      <c r="E29" s="1630"/>
      <c r="F29" s="1630"/>
      <c r="G29" s="1630"/>
      <c r="H29" s="1631"/>
      <c r="I29" s="732"/>
    </row>
    <row r="30" spans="1:9" s="720" customFormat="1" ht="17.649999999999999" customHeight="1">
      <c r="A30" s="723">
        <v>25</v>
      </c>
      <c r="B30" s="1577" t="s">
        <v>1003</v>
      </c>
      <c r="C30" s="1577"/>
      <c r="D30" s="1577"/>
      <c r="E30" s="1577"/>
      <c r="F30" s="1577"/>
      <c r="G30" s="1577"/>
      <c r="H30" s="1578"/>
      <c r="I30" s="732"/>
    </row>
    <row r="31" spans="1:9" s="720" customFormat="1" ht="17.649999999999999" customHeight="1">
      <c r="A31" s="723">
        <v>26</v>
      </c>
      <c r="B31" s="1592" t="s">
        <v>1038</v>
      </c>
      <c r="C31" s="1592"/>
      <c r="D31" s="1592"/>
      <c r="E31" s="1592"/>
      <c r="F31" s="1592"/>
      <c r="G31" s="1592"/>
      <c r="H31" s="1593"/>
      <c r="I31" s="735"/>
    </row>
    <row r="32" spans="1:9" ht="19.149999999999999" customHeight="1">
      <c r="A32" s="1627" t="s">
        <v>1039</v>
      </c>
      <c r="B32" s="1628"/>
      <c r="C32" s="1628"/>
      <c r="D32" s="1628"/>
      <c r="E32" s="1628"/>
      <c r="F32" s="1628"/>
      <c r="G32" s="1628"/>
      <c r="H32" s="1628"/>
      <c r="I32" s="1629"/>
    </row>
    <row r="33" spans="1:9" s="720" customFormat="1" ht="30" customHeight="1">
      <c r="A33" s="727">
        <v>27</v>
      </c>
      <c r="B33" s="1666" t="s">
        <v>1040</v>
      </c>
      <c r="C33" s="1666"/>
      <c r="D33" s="1666"/>
      <c r="E33" s="1666"/>
      <c r="F33" s="1666"/>
      <c r="G33" s="1666"/>
      <c r="H33" s="1667"/>
      <c r="I33" s="734"/>
    </row>
    <row r="34" spans="1:9" s="720" customFormat="1" ht="17.5" customHeight="1">
      <c r="A34" s="723">
        <v>28</v>
      </c>
      <c r="B34" s="1660" t="s">
        <v>1041</v>
      </c>
      <c r="C34" s="1660"/>
      <c r="D34" s="1660"/>
      <c r="E34" s="1660"/>
      <c r="F34" s="1660"/>
      <c r="G34" s="1660"/>
      <c r="H34" s="1661"/>
      <c r="I34" s="732"/>
    </row>
    <row r="35" spans="1:9" s="720" customFormat="1" ht="17.5" customHeight="1">
      <c r="A35" s="727">
        <v>29</v>
      </c>
      <c r="B35" s="1660" t="s">
        <v>1042</v>
      </c>
      <c r="C35" s="1660"/>
      <c r="D35" s="1660"/>
      <c r="E35" s="1660"/>
      <c r="F35" s="1660"/>
      <c r="G35" s="1660"/>
      <c r="H35" s="1661"/>
      <c r="I35" s="732"/>
    </row>
    <row r="36" spans="1:9" s="720" customFormat="1" ht="19.149999999999999" customHeight="1">
      <c r="A36" s="723">
        <v>30</v>
      </c>
      <c r="B36" s="1660" t="s">
        <v>1043</v>
      </c>
      <c r="C36" s="1660"/>
      <c r="D36" s="1660"/>
      <c r="E36" s="1660"/>
      <c r="F36" s="1660"/>
      <c r="G36" s="1660"/>
      <c r="H36" s="1661"/>
      <c r="I36" s="732"/>
    </row>
    <row r="37" spans="1:9" s="720" customFormat="1" ht="19.149999999999999" customHeight="1">
      <c r="A37" s="727">
        <v>31</v>
      </c>
      <c r="B37" s="1660" t="s">
        <v>1044</v>
      </c>
      <c r="C37" s="1660"/>
      <c r="D37" s="1660"/>
      <c r="E37" s="1660"/>
      <c r="F37" s="1660"/>
      <c r="G37" s="1660"/>
      <c r="H37" s="1661"/>
      <c r="I37" s="732"/>
    </row>
    <row r="38" spans="1:9" s="720" customFormat="1" ht="19.149999999999999" customHeight="1">
      <c r="A38" s="723">
        <v>32</v>
      </c>
      <c r="B38" s="1660" t="s">
        <v>1045</v>
      </c>
      <c r="C38" s="1660"/>
      <c r="D38" s="1660"/>
      <c r="E38" s="1660"/>
      <c r="F38" s="1660"/>
      <c r="G38" s="1660"/>
      <c r="H38" s="1661"/>
      <c r="I38" s="732"/>
    </row>
    <row r="39" spans="1:9" s="720" customFormat="1" ht="19.149999999999999" customHeight="1">
      <c r="A39" s="727">
        <v>33</v>
      </c>
      <c r="B39" s="1660" t="s">
        <v>1046</v>
      </c>
      <c r="C39" s="1660"/>
      <c r="D39" s="1660"/>
      <c r="E39" s="1660"/>
      <c r="F39" s="1660"/>
      <c r="G39" s="1660"/>
      <c r="H39" s="1661"/>
      <c r="I39" s="732"/>
    </row>
    <row r="40" spans="1:9" ht="19.149999999999999" customHeight="1">
      <c r="A40" s="723">
        <v>34</v>
      </c>
      <c r="B40" s="1660" t="s">
        <v>1047</v>
      </c>
      <c r="C40" s="1660"/>
      <c r="D40" s="1660"/>
      <c r="E40" s="1660"/>
      <c r="F40" s="1660"/>
      <c r="G40" s="1660"/>
      <c r="H40" s="1661"/>
      <c r="I40" s="736"/>
    </row>
    <row r="41" spans="1:9" ht="19.149999999999999" customHeight="1">
      <c r="A41" s="729">
        <v>35</v>
      </c>
      <c r="B41" s="1664" t="s">
        <v>1048</v>
      </c>
      <c r="C41" s="1664"/>
      <c r="D41" s="1664"/>
      <c r="E41" s="1664"/>
      <c r="F41" s="1664"/>
      <c r="G41" s="1664"/>
      <c r="H41" s="1665"/>
      <c r="I41" s="737"/>
    </row>
    <row r="42" spans="1:9" ht="19.149999999999999" customHeight="1">
      <c r="A42" s="1627" t="s">
        <v>1049</v>
      </c>
      <c r="B42" s="1628"/>
      <c r="C42" s="1628"/>
      <c r="D42" s="1628"/>
      <c r="E42" s="1628"/>
      <c r="F42" s="1628"/>
      <c r="G42" s="1628"/>
      <c r="H42" s="1628"/>
      <c r="I42" s="1629"/>
    </row>
    <row r="43" spans="1:9" s="720" customFormat="1" ht="30" customHeight="1">
      <c r="A43" s="723">
        <v>36</v>
      </c>
      <c r="B43" s="1666" t="s">
        <v>1050</v>
      </c>
      <c r="C43" s="1666"/>
      <c r="D43" s="1666"/>
      <c r="E43" s="1666"/>
      <c r="F43" s="1666"/>
      <c r="G43" s="1666"/>
      <c r="H43" s="1667"/>
      <c r="I43" s="734"/>
    </row>
    <row r="44" spans="1:9" s="720" customFormat="1" ht="17.649999999999999" customHeight="1">
      <c r="A44" s="723">
        <v>37</v>
      </c>
      <c r="B44" s="1660" t="s">
        <v>1051</v>
      </c>
      <c r="C44" s="1660"/>
      <c r="D44" s="1660"/>
      <c r="E44" s="1660"/>
      <c r="F44" s="1660"/>
      <c r="G44" s="1660"/>
      <c r="H44" s="1661"/>
      <c r="I44" s="732"/>
    </row>
    <row r="45" spans="1:9" s="720" customFormat="1" ht="17.649999999999999" customHeight="1">
      <c r="A45" s="723">
        <v>38</v>
      </c>
      <c r="B45" s="1660" t="s">
        <v>1128</v>
      </c>
      <c r="C45" s="1660"/>
      <c r="D45" s="1660"/>
      <c r="E45" s="1660"/>
      <c r="F45" s="1660"/>
      <c r="G45" s="1660"/>
      <c r="H45" s="1661"/>
      <c r="I45" s="732"/>
    </row>
    <row r="46" spans="1:9" s="720" customFormat="1" ht="17.649999999999999" customHeight="1">
      <c r="A46" s="723">
        <v>39</v>
      </c>
      <c r="B46" s="1662" t="s">
        <v>1052</v>
      </c>
      <c r="C46" s="1662"/>
      <c r="D46" s="1662"/>
      <c r="E46" s="1662"/>
      <c r="F46" s="1662"/>
      <c r="G46" s="1662"/>
      <c r="H46" s="1663"/>
      <c r="I46" s="735"/>
    </row>
    <row r="47" spans="1:9" ht="19.149999999999999" customHeight="1">
      <c r="A47" s="1656" t="s">
        <v>1002</v>
      </c>
      <c r="B47" s="1657"/>
      <c r="C47" s="1657"/>
      <c r="D47" s="1657"/>
      <c r="E47" s="1657"/>
      <c r="F47" s="1657"/>
      <c r="G47" s="1657"/>
      <c r="H47" s="1657"/>
      <c r="I47" s="1658"/>
    </row>
    <row r="48" spans="1:9" s="720" customFormat="1" ht="17.649999999999999" customHeight="1">
      <c r="A48" s="727">
        <v>40</v>
      </c>
      <c r="B48" s="1588" t="s">
        <v>1001</v>
      </c>
      <c r="C48" s="1588"/>
      <c r="D48" s="1588"/>
      <c r="E48" s="1588"/>
      <c r="F48" s="1588"/>
      <c r="G48" s="1588"/>
      <c r="H48" s="1589"/>
      <c r="I48" s="734"/>
    </row>
    <row r="49" spans="1:9" s="720" customFormat="1" ht="17.649999999999999" customHeight="1">
      <c r="A49" s="723">
        <v>41</v>
      </c>
      <c r="B49" s="1577" t="s">
        <v>998</v>
      </c>
      <c r="C49" s="1577"/>
      <c r="D49" s="1577"/>
      <c r="E49" s="1577"/>
      <c r="F49" s="1577"/>
      <c r="G49" s="1577"/>
      <c r="H49" s="1578"/>
      <c r="I49" s="732"/>
    </row>
    <row r="50" spans="1:9" s="720" customFormat="1" ht="17.649999999999999" customHeight="1">
      <c r="A50" s="727">
        <v>42</v>
      </c>
      <c r="B50" s="1577" t="s">
        <v>997</v>
      </c>
      <c r="C50" s="1577"/>
      <c r="D50" s="1577"/>
      <c r="E50" s="1577"/>
      <c r="F50" s="1577"/>
      <c r="G50" s="1577"/>
      <c r="H50" s="1578"/>
      <c r="I50" s="732"/>
    </row>
    <row r="51" spans="1:9" s="720" customFormat="1" ht="17.649999999999999" customHeight="1">
      <c r="A51" s="723">
        <v>43</v>
      </c>
      <c r="B51" s="1577" t="s">
        <v>996</v>
      </c>
      <c r="C51" s="1577"/>
      <c r="D51" s="1577"/>
      <c r="E51" s="1577"/>
      <c r="F51" s="1577"/>
      <c r="G51" s="1577"/>
      <c r="H51" s="1578"/>
      <c r="I51" s="732"/>
    </row>
    <row r="52" spans="1:9" s="730" customFormat="1" ht="30" customHeight="1">
      <c r="A52" s="727">
        <v>44</v>
      </c>
      <c r="B52" s="1632" t="s">
        <v>995</v>
      </c>
      <c r="C52" s="1632"/>
      <c r="D52" s="1632"/>
      <c r="E52" s="1632"/>
      <c r="F52" s="1632"/>
      <c r="G52" s="1632"/>
      <c r="H52" s="1633"/>
      <c r="I52" s="738"/>
    </row>
    <row r="53" spans="1:9" ht="19.149999999999999" customHeight="1">
      <c r="A53" s="1656" t="s">
        <v>994</v>
      </c>
      <c r="B53" s="1657"/>
      <c r="C53" s="1657"/>
      <c r="D53" s="1657"/>
      <c r="E53" s="1657"/>
      <c r="F53" s="1657"/>
      <c r="G53" s="1657"/>
      <c r="H53" s="1657"/>
      <c r="I53" s="1658"/>
    </row>
    <row r="54" spans="1:9" s="720" customFormat="1" ht="17.649999999999999" customHeight="1">
      <c r="A54" s="727">
        <v>45</v>
      </c>
      <c r="B54" s="1588" t="s">
        <v>993</v>
      </c>
      <c r="C54" s="1588"/>
      <c r="D54" s="1588"/>
      <c r="E54" s="1588"/>
      <c r="F54" s="1588"/>
      <c r="G54" s="1588"/>
      <c r="H54" s="1589"/>
      <c r="I54" s="734"/>
    </row>
    <row r="55" spans="1:9" s="720" customFormat="1" ht="17.649999999999999" customHeight="1">
      <c r="A55" s="723">
        <v>46</v>
      </c>
      <c r="B55" s="1577" t="s">
        <v>992</v>
      </c>
      <c r="C55" s="1577"/>
      <c r="D55" s="1577"/>
      <c r="E55" s="1577"/>
      <c r="F55" s="1577"/>
      <c r="G55" s="1577"/>
      <c r="H55" s="1578"/>
      <c r="I55" s="732"/>
    </row>
    <row r="56" spans="1:9" s="720" customFormat="1" ht="17.649999999999999" customHeight="1">
      <c r="A56" s="727">
        <v>47</v>
      </c>
      <c r="B56" s="1577" t="s">
        <v>991</v>
      </c>
      <c r="C56" s="1577"/>
      <c r="D56" s="1577"/>
      <c r="E56" s="1577"/>
      <c r="F56" s="1577"/>
      <c r="G56" s="1577"/>
      <c r="H56" s="1578"/>
      <c r="I56" s="732"/>
    </row>
    <row r="57" spans="1:9" s="720" customFormat="1" ht="17.649999999999999" customHeight="1">
      <c r="A57" s="723">
        <v>48</v>
      </c>
      <c r="B57" s="1577" t="s">
        <v>990</v>
      </c>
      <c r="C57" s="1577"/>
      <c r="D57" s="1577"/>
      <c r="E57" s="1577"/>
      <c r="F57" s="1577"/>
      <c r="G57" s="1577"/>
      <c r="H57" s="1578"/>
      <c r="I57" s="732"/>
    </row>
    <row r="58" spans="1:9" s="720" customFormat="1" ht="17.649999999999999" customHeight="1">
      <c r="A58" s="727">
        <v>49</v>
      </c>
      <c r="B58" s="1578" t="s">
        <v>989</v>
      </c>
      <c r="C58" s="1587"/>
      <c r="D58" s="1587"/>
      <c r="E58" s="1587"/>
      <c r="F58" s="1587"/>
      <c r="G58" s="1587"/>
      <c r="H58" s="1587"/>
      <c r="I58" s="732"/>
    </row>
    <row r="59" spans="1:9" s="730" customFormat="1" ht="17.649999999999999" customHeight="1">
      <c r="A59" s="723">
        <v>50</v>
      </c>
      <c r="B59" s="1590" t="s">
        <v>1053</v>
      </c>
      <c r="C59" s="1590"/>
      <c r="D59" s="1590"/>
      <c r="E59" s="1590"/>
      <c r="F59" s="1590"/>
      <c r="G59" s="1590"/>
      <c r="H59" s="1591"/>
      <c r="I59" s="739"/>
    </row>
    <row r="60" spans="1:9" s="720" customFormat="1" ht="17.649999999999999" customHeight="1">
      <c r="A60" s="727">
        <v>51</v>
      </c>
      <c r="B60" s="1577" t="s">
        <v>1054</v>
      </c>
      <c r="C60" s="1577"/>
      <c r="D60" s="1577"/>
      <c r="E60" s="1577"/>
      <c r="F60" s="1577"/>
      <c r="G60" s="1577"/>
      <c r="H60" s="1578"/>
      <c r="I60" s="732"/>
    </row>
    <row r="61" spans="1:9" s="720" customFormat="1" ht="17.649999999999999" customHeight="1">
      <c r="A61" s="727">
        <v>52</v>
      </c>
      <c r="B61" s="1578" t="s">
        <v>986</v>
      </c>
      <c r="C61" s="1587"/>
      <c r="D61" s="1587"/>
      <c r="E61" s="1587"/>
      <c r="F61" s="1587"/>
      <c r="G61" s="1587"/>
      <c r="H61" s="1587"/>
      <c r="I61" s="732"/>
    </row>
    <row r="62" spans="1:9" s="720" customFormat="1" ht="17.649999999999999" customHeight="1">
      <c r="A62" s="723">
        <v>53</v>
      </c>
      <c r="B62" s="1578" t="s">
        <v>985</v>
      </c>
      <c r="C62" s="1587"/>
      <c r="D62" s="1587"/>
      <c r="E62" s="1587"/>
      <c r="F62" s="1587"/>
      <c r="G62" s="1587"/>
      <c r="H62" s="1587"/>
      <c r="I62" s="732"/>
    </row>
    <row r="63" spans="1:9" s="720" customFormat="1" ht="17.649999999999999" customHeight="1">
      <c r="A63" s="722">
        <v>54</v>
      </c>
      <c r="B63" s="1580" t="s">
        <v>1055</v>
      </c>
      <c r="C63" s="1659"/>
      <c r="D63" s="1659"/>
      <c r="E63" s="1659"/>
      <c r="F63" s="1659"/>
      <c r="G63" s="1659"/>
      <c r="H63" s="1659"/>
      <c r="I63" s="731"/>
    </row>
    <row r="64" spans="1:9" s="720" customFormat="1" ht="17.649999999999999" customHeight="1">
      <c r="A64" s="723">
        <v>55</v>
      </c>
      <c r="B64" s="1577" t="s">
        <v>1187</v>
      </c>
      <c r="C64" s="1577"/>
      <c r="D64" s="1577"/>
      <c r="E64" s="1577"/>
      <c r="F64" s="1577"/>
      <c r="G64" s="1577"/>
      <c r="H64" s="1578"/>
      <c r="I64" s="732"/>
    </row>
    <row r="65" spans="1:9" s="720" customFormat="1" ht="17.649999999999999" customHeight="1">
      <c r="A65" s="723">
        <v>56</v>
      </c>
      <c r="B65" s="1579" t="s">
        <v>1188</v>
      </c>
      <c r="C65" s="1579"/>
      <c r="D65" s="1579"/>
      <c r="E65" s="1579"/>
      <c r="F65" s="1579"/>
      <c r="G65" s="1579"/>
      <c r="H65" s="1580"/>
      <c r="I65" s="721"/>
    </row>
    <row r="66" spans="1:9" ht="19.149999999999999" customHeight="1">
      <c r="A66" s="1644" t="s">
        <v>983</v>
      </c>
      <c r="B66" s="1645"/>
      <c r="C66" s="1645"/>
      <c r="D66" s="1645"/>
      <c r="E66" s="1645"/>
      <c r="F66" s="1645"/>
      <c r="G66" s="1645"/>
      <c r="H66" s="1645"/>
      <c r="I66" s="1646"/>
    </row>
    <row r="67" spans="1:9" ht="19.149999999999999" customHeight="1">
      <c r="A67" s="1597"/>
      <c r="B67" s="1598"/>
      <c r="C67" s="1598"/>
      <c r="D67" s="1598"/>
      <c r="E67" s="1598"/>
      <c r="F67" s="1598"/>
      <c r="G67" s="1598"/>
      <c r="H67" s="1598"/>
      <c r="I67" s="1599"/>
    </row>
    <row r="68" spans="1:9" ht="19.149999999999999" customHeight="1">
      <c r="A68" s="1600"/>
      <c r="B68" s="1601"/>
      <c r="C68" s="1601"/>
      <c r="D68" s="1601"/>
      <c r="E68" s="1601"/>
      <c r="F68" s="1601"/>
      <c r="G68" s="1601"/>
      <c r="H68" s="1601"/>
      <c r="I68" s="1602"/>
    </row>
    <row r="69" spans="1:9" ht="19.149999999999999" customHeight="1">
      <c r="A69" s="1600"/>
      <c r="B69" s="1601"/>
      <c r="C69" s="1601"/>
      <c r="D69" s="1601"/>
      <c r="E69" s="1601"/>
      <c r="F69" s="1601"/>
      <c r="G69" s="1601"/>
      <c r="H69" s="1601"/>
      <c r="I69" s="1602"/>
    </row>
    <row r="70" spans="1:9" ht="19.149999999999999" customHeight="1">
      <c r="A70" s="1600"/>
      <c r="B70" s="1601"/>
      <c r="C70" s="1601"/>
      <c r="D70" s="1601"/>
      <c r="E70" s="1601"/>
      <c r="F70" s="1601"/>
      <c r="G70" s="1601"/>
      <c r="H70" s="1601"/>
      <c r="I70" s="1602"/>
    </row>
    <row r="71" spans="1:9" ht="19.149999999999999" customHeight="1">
      <c r="A71" s="1600"/>
      <c r="B71" s="1601"/>
      <c r="C71" s="1601"/>
      <c r="D71" s="1601"/>
      <c r="E71" s="1601"/>
      <c r="F71" s="1601"/>
      <c r="G71" s="1601"/>
      <c r="H71" s="1601"/>
      <c r="I71" s="1602"/>
    </row>
    <row r="72" spans="1:9" ht="19.149999999999999" customHeight="1">
      <c r="A72" s="1600"/>
      <c r="B72" s="1601"/>
      <c r="C72" s="1601"/>
      <c r="D72" s="1601"/>
      <c r="E72" s="1601"/>
      <c r="F72" s="1601"/>
      <c r="G72" s="1601"/>
      <c r="H72" s="1601"/>
      <c r="I72" s="1602"/>
    </row>
    <row r="73" spans="1:9" ht="19.149999999999999" customHeight="1">
      <c r="A73" s="1600"/>
      <c r="B73" s="1601"/>
      <c r="C73" s="1601"/>
      <c r="D73" s="1601"/>
      <c r="E73" s="1601"/>
      <c r="F73" s="1601"/>
      <c r="G73" s="1601"/>
      <c r="H73" s="1601"/>
      <c r="I73" s="1602"/>
    </row>
    <row r="74" spans="1:9" ht="19.149999999999999" customHeight="1">
      <c r="A74" s="1603"/>
      <c r="B74" s="1604"/>
      <c r="C74" s="1604"/>
      <c r="D74" s="1604"/>
      <c r="E74" s="1604"/>
      <c r="F74" s="1604"/>
      <c r="G74" s="1604"/>
      <c r="H74" s="1604"/>
      <c r="I74" s="1605"/>
    </row>
    <row r="75" spans="1:9" ht="14.5" customHeight="1">
      <c r="A75" s="740" t="s">
        <v>1028</v>
      </c>
      <c r="B75" s="741"/>
      <c r="C75" s="741"/>
      <c r="D75" s="741"/>
      <c r="E75" s="741"/>
      <c r="F75" s="741"/>
      <c r="G75" s="741"/>
      <c r="H75" s="741"/>
      <c r="I75" s="742"/>
    </row>
    <row r="76" spans="1:9" ht="14.5" customHeight="1">
      <c r="A76" s="740" t="s">
        <v>982</v>
      </c>
      <c r="B76" s="740"/>
      <c r="C76" s="740"/>
      <c r="D76" s="740"/>
      <c r="E76" s="740"/>
      <c r="F76" s="740"/>
      <c r="G76" s="740"/>
    </row>
    <row r="77" spans="1:9" ht="19.149999999999999" customHeight="1">
      <c r="A77" s="1531" t="s">
        <v>981</v>
      </c>
      <c r="B77" s="1532"/>
      <c r="C77" s="1532"/>
      <c r="D77" s="1532"/>
      <c r="E77" s="1532"/>
      <c r="F77" s="1532"/>
      <c r="G77" s="1532"/>
      <c r="H77" s="1532"/>
      <c r="I77" s="646" t="s">
        <v>948</v>
      </c>
    </row>
    <row r="78" spans="1:9" ht="19.149999999999999" customHeight="1">
      <c r="A78" s="1627" t="s">
        <v>980</v>
      </c>
      <c r="B78" s="1628"/>
      <c r="C78" s="1628"/>
      <c r="D78" s="1628"/>
      <c r="E78" s="1628"/>
      <c r="F78" s="1628"/>
      <c r="G78" s="1628"/>
      <c r="H78" s="1628"/>
      <c r="I78" s="1629"/>
    </row>
    <row r="79" spans="1:9" s="720" customFormat="1" ht="17.649999999999999" customHeight="1">
      <c r="A79" s="727">
        <v>1</v>
      </c>
      <c r="B79" s="1588" t="s">
        <v>1056</v>
      </c>
      <c r="C79" s="1588"/>
      <c r="D79" s="1588"/>
      <c r="E79" s="1588"/>
      <c r="F79" s="1588"/>
      <c r="G79" s="1588"/>
      <c r="H79" s="1589"/>
      <c r="I79" s="734"/>
    </row>
    <row r="80" spans="1:9" s="720" customFormat="1" ht="17.649999999999999" customHeight="1">
      <c r="A80" s="723">
        <v>2</v>
      </c>
      <c r="B80" s="1578" t="s">
        <v>978</v>
      </c>
      <c r="C80" s="1587"/>
      <c r="D80" s="1587"/>
      <c r="E80" s="1587"/>
      <c r="F80" s="1587"/>
      <c r="G80" s="1587"/>
      <c r="H80" s="1587"/>
      <c r="I80" s="732"/>
    </row>
    <row r="81" spans="1:9" s="720" customFormat="1" ht="17.649999999999999" customHeight="1">
      <c r="A81" s="723">
        <v>3</v>
      </c>
      <c r="B81" s="1577" t="s">
        <v>977</v>
      </c>
      <c r="C81" s="1577"/>
      <c r="D81" s="1577"/>
      <c r="E81" s="1577"/>
      <c r="F81" s="1577"/>
      <c r="G81" s="1577"/>
      <c r="H81" s="1578"/>
      <c r="I81" s="732"/>
    </row>
    <row r="82" spans="1:9" s="720" customFormat="1" ht="17.649999999999999" customHeight="1">
      <c r="A82" s="723">
        <v>4</v>
      </c>
      <c r="B82" s="1577" t="s">
        <v>976</v>
      </c>
      <c r="C82" s="1577"/>
      <c r="D82" s="1577"/>
      <c r="E82" s="1577"/>
      <c r="F82" s="1577"/>
      <c r="G82" s="1577"/>
      <c r="H82" s="1578"/>
      <c r="I82" s="732"/>
    </row>
    <row r="83" spans="1:9" s="720" customFormat="1" ht="17.649999999999999" customHeight="1">
      <c r="A83" s="723">
        <v>5</v>
      </c>
      <c r="B83" s="1577" t="s">
        <v>975</v>
      </c>
      <c r="C83" s="1577"/>
      <c r="D83" s="1577"/>
      <c r="E83" s="1577"/>
      <c r="F83" s="1577"/>
      <c r="G83" s="1577"/>
      <c r="H83" s="1578"/>
      <c r="I83" s="732"/>
    </row>
    <row r="84" spans="1:9" s="720" customFormat="1" ht="17.649999999999999" customHeight="1">
      <c r="A84" s="723">
        <v>6</v>
      </c>
      <c r="B84" s="1577" t="s">
        <v>974</v>
      </c>
      <c r="C84" s="1577"/>
      <c r="D84" s="1577"/>
      <c r="E84" s="1577"/>
      <c r="F84" s="1577"/>
      <c r="G84" s="1577"/>
      <c r="H84" s="1578"/>
      <c r="I84" s="732"/>
    </row>
    <row r="85" spans="1:9" s="720" customFormat="1" ht="17.649999999999999" customHeight="1">
      <c r="A85" s="726">
        <v>7</v>
      </c>
      <c r="B85" s="1578" t="s">
        <v>973</v>
      </c>
      <c r="C85" s="1587"/>
      <c r="D85" s="1587"/>
      <c r="E85" s="1587"/>
      <c r="F85" s="1587"/>
      <c r="G85" s="1587"/>
      <c r="H85" s="1587"/>
      <c r="I85" s="731"/>
    </row>
    <row r="86" spans="1:9" s="720" customFormat="1" ht="17.649999999999999" customHeight="1">
      <c r="A86" s="729">
        <v>8</v>
      </c>
      <c r="B86" s="1592" t="s">
        <v>972</v>
      </c>
      <c r="C86" s="1592"/>
      <c r="D86" s="1592"/>
      <c r="E86" s="1592"/>
      <c r="F86" s="1592"/>
      <c r="G86" s="1592"/>
      <c r="H86" s="1593"/>
      <c r="I86" s="735"/>
    </row>
    <row r="87" spans="1:9" ht="19.149999999999999" customHeight="1">
      <c r="A87" s="1656" t="s">
        <v>971</v>
      </c>
      <c r="B87" s="1657"/>
      <c r="C87" s="1657"/>
      <c r="D87" s="1657"/>
      <c r="E87" s="1657"/>
      <c r="F87" s="1657"/>
      <c r="G87" s="1657"/>
      <c r="H87" s="1657"/>
      <c r="I87" s="1658"/>
    </row>
    <row r="88" spans="1:9" s="720" customFormat="1" ht="17.649999999999999" customHeight="1">
      <c r="A88" s="727">
        <v>9</v>
      </c>
      <c r="B88" s="1588" t="s">
        <v>970</v>
      </c>
      <c r="C88" s="1588"/>
      <c r="D88" s="1588"/>
      <c r="E88" s="1588"/>
      <c r="F88" s="1588"/>
      <c r="G88" s="1588"/>
      <c r="H88" s="1589"/>
      <c r="I88" s="734"/>
    </row>
    <row r="89" spans="1:9" s="720" customFormat="1" ht="17.649999999999999" customHeight="1">
      <c r="A89" s="723">
        <v>10</v>
      </c>
      <c r="B89" s="1577" t="s">
        <v>969</v>
      </c>
      <c r="C89" s="1577"/>
      <c r="D89" s="1577"/>
      <c r="E89" s="1577"/>
      <c r="F89" s="1577"/>
      <c r="G89" s="1577"/>
      <c r="H89" s="1578"/>
      <c r="I89" s="732"/>
    </row>
    <row r="90" spans="1:9" s="720" customFormat="1" ht="17.649999999999999" customHeight="1">
      <c r="A90" s="723">
        <v>11</v>
      </c>
      <c r="B90" s="1577" t="s">
        <v>968</v>
      </c>
      <c r="C90" s="1577"/>
      <c r="D90" s="1577"/>
      <c r="E90" s="1577"/>
      <c r="F90" s="1577"/>
      <c r="G90" s="1577"/>
      <c r="H90" s="1578"/>
      <c r="I90" s="732"/>
    </row>
    <row r="91" spans="1:9" s="720" customFormat="1" ht="17.649999999999999" customHeight="1">
      <c r="A91" s="723">
        <v>12</v>
      </c>
      <c r="B91" s="1577" t="s">
        <v>967</v>
      </c>
      <c r="C91" s="1577"/>
      <c r="D91" s="1577"/>
      <c r="E91" s="1577"/>
      <c r="F91" s="1577"/>
      <c r="G91" s="1577"/>
      <c r="H91" s="1578"/>
      <c r="I91" s="732"/>
    </row>
    <row r="92" spans="1:9" s="720" customFormat="1" ht="30" customHeight="1">
      <c r="A92" s="723">
        <v>13</v>
      </c>
      <c r="B92" s="1590" t="s">
        <v>966</v>
      </c>
      <c r="C92" s="1590"/>
      <c r="D92" s="1590"/>
      <c r="E92" s="1590"/>
      <c r="F92" s="1590"/>
      <c r="G92" s="1590"/>
      <c r="H92" s="1591"/>
      <c r="I92" s="732"/>
    </row>
    <row r="93" spans="1:9" s="720" customFormat="1" ht="17.649999999999999" customHeight="1">
      <c r="A93" s="729">
        <v>14</v>
      </c>
      <c r="B93" s="1592" t="s">
        <v>965</v>
      </c>
      <c r="C93" s="1592"/>
      <c r="D93" s="1592"/>
      <c r="E93" s="1592"/>
      <c r="F93" s="1592"/>
      <c r="G93" s="1592"/>
      <c r="H93" s="1593"/>
      <c r="I93" s="735"/>
    </row>
    <row r="94" spans="1:9" ht="19.149999999999999" customHeight="1">
      <c r="A94" s="1644" t="s">
        <v>1057</v>
      </c>
      <c r="B94" s="1645"/>
      <c r="C94" s="1645"/>
      <c r="D94" s="1645"/>
      <c r="E94" s="1645"/>
      <c r="F94" s="1645"/>
      <c r="G94" s="1645"/>
      <c r="H94" s="1645"/>
      <c r="I94" s="1646"/>
    </row>
    <row r="95" spans="1:9" ht="19.149999999999999" customHeight="1">
      <c r="A95" s="1647"/>
      <c r="B95" s="1648"/>
      <c r="C95" s="1648"/>
      <c r="D95" s="1648"/>
      <c r="E95" s="1648"/>
      <c r="F95" s="1648"/>
      <c r="G95" s="1648"/>
      <c r="H95" s="1648"/>
      <c r="I95" s="1649"/>
    </row>
    <row r="96" spans="1:9" ht="19.149999999999999" customHeight="1">
      <c r="A96" s="1647"/>
      <c r="B96" s="1648"/>
      <c r="C96" s="1648"/>
      <c r="D96" s="1648"/>
      <c r="E96" s="1648"/>
      <c r="F96" s="1648"/>
      <c r="G96" s="1648"/>
      <c r="H96" s="1648"/>
      <c r="I96" s="1649"/>
    </row>
    <row r="97" spans="1:9" ht="19.149999999999999" customHeight="1">
      <c r="A97" s="1650"/>
      <c r="B97" s="1651"/>
      <c r="C97" s="1651"/>
      <c r="D97" s="1651"/>
      <c r="E97" s="1651"/>
      <c r="F97" s="1651"/>
      <c r="G97" s="1651"/>
      <c r="H97" s="1651"/>
      <c r="I97" s="1652"/>
    </row>
    <row r="98" spans="1:9" ht="19.149999999999999" customHeight="1">
      <c r="A98" s="1653"/>
      <c r="B98" s="1654"/>
      <c r="C98" s="1654"/>
      <c r="D98" s="1654"/>
      <c r="E98" s="1654"/>
      <c r="F98" s="1654"/>
      <c r="G98" s="1654"/>
      <c r="H98" s="1654"/>
      <c r="I98" s="1655"/>
    </row>
    <row r="99" spans="1:9" ht="19.149999999999999" customHeight="1">
      <c r="A99" s="740" t="s">
        <v>963</v>
      </c>
    </row>
    <row r="100" spans="1:9" ht="19.149999999999999" customHeight="1">
      <c r="A100" s="1531" t="s">
        <v>962</v>
      </c>
      <c r="B100" s="1532"/>
      <c r="C100" s="1532"/>
      <c r="D100" s="1532"/>
      <c r="E100" s="1532"/>
      <c r="F100" s="1532"/>
      <c r="G100" s="1532"/>
      <c r="H100" s="1532"/>
      <c r="I100" s="646" t="s">
        <v>948</v>
      </c>
    </row>
    <row r="101" spans="1:9" s="720" customFormat="1" ht="17.649999999999999" customHeight="1">
      <c r="A101" s="727">
        <v>1</v>
      </c>
      <c r="B101" s="1588" t="s">
        <v>1058</v>
      </c>
      <c r="C101" s="1588"/>
      <c r="D101" s="1588"/>
      <c r="E101" s="1588"/>
      <c r="F101" s="1588"/>
      <c r="G101" s="1588"/>
      <c r="H101" s="1589"/>
      <c r="I101" s="734"/>
    </row>
    <row r="102" spans="1:9" s="720" customFormat="1" ht="17.649999999999999" customHeight="1">
      <c r="A102" s="723">
        <v>2</v>
      </c>
      <c r="B102" s="1577" t="s">
        <v>961</v>
      </c>
      <c r="C102" s="1577"/>
      <c r="D102" s="1577"/>
      <c r="E102" s="1577"/>
      <c r="F102" s="1577"/>
      <c r="G102" s="1577"/>
      <c r="H102" s="1578"/>
      <c r="I102" s="732"/>
    </row>
    <row r="103" spans="1:9" s="720" customFormat="1" ht="17.649999999999999" customHeight="1">
      <c r="A103" s="723">
        <v>3</v>
      </c>
      <c r="B103" s="1577" t="s">
        <v>959</v>
      </c>
      <c r="C103" s="1577"/>
      <c r="D103" s="1577"/>
      <c r="E103" s="1577"/>
      <c r="F103" s="1577"/>
      <c r="G103" s="1577"/>
      <c r="H103" s="1578"/>
      <c r="I103" s="732"/>
    </row>
    <row r="104" spans="1:9" s="720" customFormat="1" ht="17.649999999999999" customHeight="1">
      <c r="A104" s="723">
        <v>4</v>
      </c>
      <c r="B104" s="1577" t="s">
        <v>958</v>
      </c>
      <c r="C104" s="1577"/>
      <c r="D104" s="1577"/>
      <c r="E104" s="1577"/>
      <c r="F104" s="1577"/>
      <c r="G104" s="1577"/>
      <c r="H104" s="1578"/>
      <c r="I104" s="732"/>
    </row>
    <row r="105" spans="1:9" s="720" customFormat="1" ht="17.649999999999999" customHeight="1">
      <c r="A105" s="723">
        <v>5</v>
      </c>
      <c r="B105" s="1577" t="s">
        <v>956</v>
      </c>
      <c r="C105" s="1577"/>
      <c r="D105" s="1577"/>
      <c r="E105" s="1577"/>
      <c r="F105" s="1577"/>
      <c r="G105" s="1577"/>
      <c r="H105" s="1578"/>
      <c r="I105" s="732"/>
    </row>
    <row r="106" spans="1:9" s="720" customFormat="1" ht="17.649999999999999" customHeight="1">
      <c r="A106" s="723">
        <v>6</v>
      </c>
      <c r="B106" s="1577" t="s">
        <v>955</v>
      </c>
      <c r="C106" s="1577"/>
      <c r="D106" s="1577"/>
      <c r="E106" s="1577"/>
      <c r="F106" s="1577"/>
      <c r="G106" s="1577"/>
      <c r="H106" s="1578"/>
      <c r="I106" s="732"/>
    </row>
    <row r="107" spans="1:9" s="720" customFormat="1" ht="17.649999999999999" customHeight="1">
      <c r="A107" s="723">
        <v>7</v>
      </c>
      <c r="B107" s="1577" t="s">
        <v>954</v>
      </c>
      <c r="C107" s="1577"/>
      <c r="D107" s="1577"/>
      <c r="E107" s="1577"/>
      <c r="F107" s="1577"/>
      <c r="G107" s="1577"/>
      <c r="H107" s="1578"/>
      <c r="I107" s="732"/>
    </row>
    <row r="108" spans="1:9" s="720" customFormat="1" ht="17.649999999999999" customHeight="1">
      <c r="A108" s="729">
        <v>8</v>
      </c>
      <c r="B108" s="1592" t="s">
        <v>1059</v>
      </c>
      <c r="C108" s="1592"/>
      <c r="D108" s="1592"/>
      <c r="E108" s="1592"/>
      <c r="F108" s="1592"/>
      <c r="G108" s="1592"/>
      <c r="H108" s="1593"/>
      <c r="I108" s="735"/>
    </row>
    <row r="109" spans="1:9" ht="19.149999999999999" customHeight="1">
      <c r="A109" s="1644" t="s">
        <v>952</v>
      </c>
      <c r="B109" s="1645"/>
      <c r="C109" s="1645"/>
      <c r="D109" s="1645"/>
      <c r="E109" s="1645"/>
      <c r="F109" s="1645"/>
      <c r="G109" s="1645"/>
      <c r="H109" s="1645"/>
      <c r="I109" s="1646"/>
    </row>
    <row r="110" spans="1:9" ht="19.149999999999999" customHeight="1">
      <c r="A110" s="1647"/>
      <c r="B110" s="1648"/>
      <c r="C110" s="1648"/>
      <c r="D110" s="1648"/>
      <c r="E110" s="1648"/>
      <c r="F110" s="1648"/>
      <c r="G110" s="1648"/>
      <c r="H110" s="1648"/>
      <c r="I110" s="1649"/>
    </row>
    <row r="111" spans="1:9" ht="19.149999999999999" customHeight="1">
      <c r="A111" s="1647"/>
      <c r="B111" s="1648"/>
      <c r="C111" s="1648"/>
      <c r="D111" s="1648"/>
      <c r="E111" s="1648"/>
      <c r="F111" s="1648"/>
      <c r="G111" s="1648"/>
      <c r="H111" s="1648"/>
      <c r="I111" s="1649"/>
    </row>
    <row r="112" spans="1:9" ht="19.149999999999999" customHeight="1">
      <c r="A112" s="1650"/>
      <c r="B112" s="1651"/>
      <c r="C112" s="1651"/>
      <c r="D112" s="1651"/>
      <c r="E112" s="1651"/>
      <c r="F112" s="1651"/>
      <c r="G112" s="1651"/>
      <c r="H112" s="1651"/>
      <c r="I112" s="1652"/>
    </row>
    <row r="113" spans="1:9" ht="19.149999999999999" customHeight="1">
      <c r="A113" s="1653"/>
      <c r="B113" s="1654"/>
      <c r="C113" s="1654"/>
      <c r="D113" s="1654"/>
      <c r="E113" s="1654"/>
      <c r="F113" s="1654"/>
      <c r="G113" s="1654"/>
      <c r="H113" s="1654"/>
      <c r="I113" s="1655"/>
    </row>
    <row r="114" spans="1:9" ht="13.9" customHeight="1">
      <c r="A114" s="649" t="s">
        <v>1028</v>
      </c>
      <c r="B114" s="733"/>
      <c r="C114" s="733"/>
      <c r="D114" s="733"/>
      <c r="E114" s="733"/>
      <c r="F114" s="733"/>
      <c r="G114" s="733"/>
      <c r="H114" s="733"/>
    </row>
    <row r="115" spans="1:9" ht="13.9" customHeight="1">
      <c r="A115" s="649" t="s">
        <v>950</v>
      </c>
      <c r="B115" s="649"/>
      <c r="C115" s="649"/>
      <c r="D115" s="649"/>
      <c r="E115" s="649"/>
      <c r="F115" s="649"/>
      <c r="G115" s="649"/>
    </row>
    <row r="116" spans="1:9" ht="19.149999999999999" customHeight="1">
      <c r="A116" s="1531" t="s">
        <v>949</v>
      </c>
      <c r="B116" s="1532"/>
      <c r="C116" s="1532"/>
      <c r="D116" s="1532"/>
      <c r="E116" s="1532"/>
      <c r="F116" s="1532"/>
      <c r="G116" s="1532"/>
      <c r="H116" s="1533"/>
      <c r="I116" s="646" t="s">
        <v>948</v>
      </c>
    </row>
    <row r="117" spans="1:9" s="720" customFormat="1" ht="17.649999999999999" customHeight="1">
      <c r="A117" s="727">
        <v>1</v>
      </c>
      <c r="B117" s="1588" t="s">
        <v>947</v>
      </c>
      <c r="C117" s="1588"/>
      <c r="D117" s="1588"/>
      <c r="E117" s="1588"/>
      <c r="F117" s="1588"/>
      <c r="G117" s="1588"/>
      <c r="H117" s="1589"/>
      <c r="I117" s="734"/>
    </row>
    <row r="118" spans="1:9" s="720" customFormat="1" ht="30" customHeight="1">
      <c r="A118" s="723">
        <v>2</v>
      </c>
      <c r="B118" s="1590" t="s">
        <v>946</v>
      </c>
      <c r="C118" s="1590"/>
      <c r="D118" s="1590"/>
      <c r="E118" s="1590"/>
      <c r="F118" s="1590"/>
      <c r="G118" s="1590"/>
      <c r="H118" s="1591"/>
      <c r="I118" s="732"/>
    </row>
    <row r="119" spans="1:9" s="720" customFormat="1" ht="17.649999999999999" customHeight="1">
      <c r="A119" s="723">
        <v>3</v>
      </c>
      <c r="B119" s="1577" t="s">
        <v>945</v>
      </c>
      <c r="C119" s="1577"/>
      <c r="D119" s="1577"/>
      <c r="E119" s="1577"/>
      <c r="F119" s="1577"/>
      <c r="G119" s="1577"/>
      <c r="H119" s="1578"/>
      <c r="I119" s="732"/>
    </row>
    <row r="120" spans="1:9" s="720" customFormat="1" ht="17.649999999999999" customHeight="1">
      <c r="A120" s="723">
        <v>4</v>
      </c>
      <c r="B120" s="1578" t="s">
        <v>944</v>
      </c>
      <c r="C120" s="1587"/>
      <c r="D120" s="1587"/>
      <c r="E120" s="1587"/>
      <c r="F120" s="1587"/>
      <c r="G120" s="1587"/>
      <c r="H120" s="1587"/>
      <c r="I120" s="732"/>
    </row>
    <row r="121" spans="1:9" s="720" customFormat="1" ht="17.649999999999999" customHeight="1">
      <c r="A121" s="723">
        <v>5</v>
      </c>
      <c r="B121" s="1577" t="s">
        <v>1202</v>
      </c>
      <c r="C121" s="1577"/>
      <c r="D121" s="1577"/>
      <c r="E121" s="1577"/>
      <c r="F121" s="1577"/>
      <c r="G121" s="1577"/>
      <c r="H121" s="1578"/>
      <c r="I121" s="732"/>
    </row>
    <row r="122" spans="1:9" s="720" customFormat="1" ht="17.649999999999999" customHeight="1">
      <c r="A122" s="723">
        <v>6</v>
      </c>
      <c r="B122" s="1578" t="s">
        <v>943</v>
      </c>
      <c r="C122" s="1587"/>
      <c r="D122" s="1587"/>
      <c r="E122" s="1587"/>
      <c r="F122" s="1587"/>
      <c r="G122" s="1587"/>
      <c r="H122" s="1587"/>
      <c r="I122" s="732"/>
    </row>
    <row r="123" spans="1:9" s="720" customFormat="1" ht="17.649999999999999" customHeight="1">
      <c r="A123" s="723">
        <v>7</v>
      </c>
      <c r="B123" s="1577" t="s">
        <v>942</v>
      </c>
      <c r="C123" s="1577"/>
      <c r="D123" s="1577"/>
      <c r="E123" s="1577"/>
      <c r="F123" s="1577"/>
      <c r="G123" s="1577"/>
      <c r="H123" s="1578"/>
      <c r="I123" s="732"/>
    </row>
    <row r="124" spans="1:9" s="720" customFormat="1" ht="17.649999999999999" customHeight="1">
      <c r="A124" s="723">
        <v>8</v>
      </c>
      <c r="B124" s="1577" t="s">
        <v>941</v>
      </c>
      <c r="C124" s="1577"/>
      <c r="D124" s="1577"/>
      <c r="E124" s="1577"/>
      <c r="F124" s="1577"/>
      <c r="G124" s="1577"/>
      <c r="H124" s="1578"/>
      <c r="I124" s="732"/>
    </row>
    <row r="125" spans="1:9" s="720" customFormat="1" ht="17.649999999999999" customHeight="1">
      <c r="A125" s="723">
        <v>9</v>
      </c>
      <c r="B125" s="1577" t="s">
        <v>940</v>
      </c>
      <c r="C125" s="1577"/>
      <c r="D125" s="1577"/>
      <c r="E125" s="1577"/>
      <c r="F125" s="1577"/>
      <c r="G125" s="1577"/>
      <c r="H125" s="1578"/>
      <c r="I125" s="732"/>
    </row>
    <row r="126" spans="1:9" s="720" customFormat="1" ht="17.649999999999999" customHeight="1">
      <c r="A126" s="723">
        <v>10</v>
      </c>
      <c r="B126" s="1577" t="s">
        <v>939</v>
      </c>
      <c r="C126" s="1577"/>
      <c r="D126" s="1577"/>
      <c r="E126" s="1577"/>
      <c r="F126" s="1577"/>
      <c r="G126" s="1577"/>
      <c r="H126" s="1578"/>
      <c r="I126" s="732"/>
    </row>
    <row r="127" spans="1:9" s="720" customFormat="1" ht="17.649999999999999" customHeight="1">
      <c r="A127" s="723">
        <v>11</v>
      </c>
      <c r="B127" s="1577" t="s">
        <v>938</v>
      </c>
      <c r="C127" s="1577"/>
      <c r="D127" s="1577"/>
      <c r="E127" s="1577"/>
      <c r="F127" s="1577"/>
      <c r="G127" s="1577"/>
      <c r="H127" s="1578"/>
      <c r="I127" s="732"/>
    </row>
    <row r="128" spans="1:9" s="720" customFormat="1" ht="17.649999999999999" customHeight="1">
      <c r="A128" s="726">
        <v>12</v>
      </c>
      <c r="B128" s="1579" t="s">
        <v>1060</v>
      </c>
      <c r="C128" s="1579"/>
      <c r="D128" s="1579"/>
      <c r="E128" s="1579"/>
      <c r="F128" s="1579"/>
      <c r="G128" s="1579"/>
      <c r="H128" s="1580"/>
      <c r="I128" s="731"/>
    </row>
    <row r="129" spans="1:9" s="720" customFormat="1" ht="17.649999999999999" customHeight="1">
      <c r="A129" s="726">
        <v>13</v>
      </c>
      <c r="B129" s="1579" t="s">
        <v>937</v>
      </c>
      <c r="C129" s="1579"/>
      <c r="D129" s="1579"/>
      <c r="E129" s="1579"/>
      <c r="F129" s="1579"/>
      <c r="G129" s="1579"/>
      <c r="H129" s="1580"/>
      <c r="I129" s="735"/>
    </row>
    <row r="130" spans="1:9" ht="19.149999999999999" customHeight="1">
      <c r="A130" s="1611" t="s">
        <v>1061</v>
      </c>
      <c r="B130" s="1612"/>
      <c r="C130" s="1612"/>
      <c r="D130" s="1612"/>
      <c r="E130" s="1612"/>
      <c r="F130" s="1612"/>
      <c r="G130" s="1612"/>
      <c r="H130" s="1612"/>
      <c r="I130" s="1643"/>
    </row>
    <row r="131" spans="1:9" ht="19.149999999999999" customHeight="1">
      <c r="A131" s="1634"/>
      <c r="B131" s="1635"/>
      <c r="C131" s="1635"/>
      <c r="D131" s="1635"/>
      <c r="E131" s="1635"/>
      <c r="F131" s="1635"/>
      <c r="G131" s="1635"/>
      <c r="H131" s="1635"/>
      <c r="I131" s="1636"/>
    </row>
    <row r="132" spans="1:9" ht="19.149999999999999" customHeight="1">
      <c r="A132" s="1634"/>
      <c r="B132" s="1635"/>
      <c r="C132" s="1635"/>
      <c r="D132" s="1635"/>
      <c r="E132" s="1635"/>
      <c r="F132" s="1635"/>
      <c r="G132" s="1635"/>
      <c r="H132" s="1635"/>
      <c r="I132" s="1636"/>
    </row>
    <row r="133" spans="1:9" ht="19.149999999999999" customHeight="1">
      <c r="A133" s="1637"/>
      <c r="B133" s="1638"/>
      <c r="C133" s="1638"/>
      <c r="D133" s="1638"/>
      <c r="E133" s="1638"/>
      <c r="F133" s="1638"/>
      <c r="G133" s="1638"/>
      <c r="H133" s="1638"/>
      <c r="I133" s="1639"/>
    </row>
    <row r="134" spans="1:9" ht="19.149999999999999" customHeight="1">
      <c r="A134" s="1640"/>
      <c r="B134" s="1641"/>
      <c r="C134" s="1641"/>
      <c r="D134" s="1641"/>
      <c r="E134" s="1641"/>
      <c r="F134" s="1641"/>
      <c r="G134" s="1641"/>
      <c r="H134" s="1641"/>
      <c r="I134" s="1642"/>
    </row>
  </sheetData>
  <mergeCells count="111">
    <mergeCell ref="B9:H9"/>
    <mergeCell ref="B10:H10"/>
    <mergeCell ref="B11:H11"/>
    <mergeCell ref="A12:I12"/>
    <mergeCell ref="B13:H13"/>
    <mergeCell ref="B14:H14"/>
    <mergeCell ref="A3:H3"/>
    <mergeCell ref="A4:I4"/>
    <mergeCell ref="B5:H5"/>
    <mergeCell ref="B6:H6"/>
    <mergeCell ref="B7:H7"/>
    <mergeCell ref="B8:H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A32:I32"/>
    <mergeCell ref="B45:H45"/>
    <mergeCell ref="B46:H46"/>
    <mergeCell ref="A47:I47"/>
    <mergeCell ref="B48:H48"/>
    <mergeCell ref="B49:H49"/>
    <mergeCell ref="B50:H50"/>
    <mergeCell ref="B39:H39"/>
    <mergeCell ref="B40:H40"/>
    <mergeCell ref="B41:H41"/>
    <mergeCell ref="A42:I42"/>
    <mergeCell ref="B43:H43"/>
    <mergeCell ref="B44:H44"/>
    <mergeCell ref="B57:H57"/>
    <mergeCell ref="B58:H58"/>
    <mergeCell ref="B59:H59"/>
    <mergeCell ref="B60:H60"/>
    <mergeCell ref="B61:H61"/>
    <mergeCell ref="B62:H62"/>
    <mergeCell ref="B51:H51"/>
    <mergeCell ref="B52:H52"/>
    <mergeCell ref="A53:I53"/>
    <mergeCell ref="B54:H54"/>
    <mergeCell ref="B55:H55"/>
    <mergeCell ref="B56:H56"/>
    <mergeCell ref="B80:H80"/>
    <mergeCell ref="B81:H81"/>
    <mergeCell ref="B82:H82"/>
    <mergeCell ref="B83:H83"/>
    <mergeCell ref="B84:H84"/>
    <mergeCell ref="B85:H85"/>
    <mergeCell ref="B63:H63"/>
    <mergeCell ref="A66:I66"/>
    <mergeCell ref="A67:I74"/>
    <mergeCell ref="A77:H77"/>
    <mergeCell ref="A78:I78"/>
    <mergeCell ref="B79:H79"/>
    <mergeCell ref="B65:H65"/>
    <mergeCell ref="B64:H64"/>
    <mergeCell ref="B92:H92"/>
    <mergeCell ref="B93:H93"/>
    <mergeCell ref="A94:I94"/>
    <mergeCell ref="A95:I98"/>
    <mergeCell ref="A100:H100"/>
    <mergeCell ref="B101:H101"/>
    <mergeCell ref="B86:H86"/>
    <mergeCell ref="A87:I87"/>
    <mergeCell ref="B88:H88"/>
    <mergeCell ref="B89:H89"/>
    <mergeCell ref="B90:H90"/>
    <mergeCell ref="B91:H91"/>
    <mergeCell ref="B108:H108"/>
    <mergeCell ref="A109:I109"/>
    <mergeCell ref="A110:I113"/>
    <mergeCell ref="A116:H116"/>
    <mergeCell ref="B117:H117"/>
    <mergeCell ref="B118:H118"/>
    <mergeCell ref="B102:H102"/>
    <mergeCell ref="B103:H103"/>
    <mergeCell ref="B104:H104"/>
    <mergeCell ref="B105:H105"/>
    <mergeCell ref="B106:H106"/>
    <mergeCell ref="B107:H107"/>
    <mergeCell ref="A131:I134"/>
    <mergeCell ref="B125:H125"/>
    <mergeCell ref="B126:H126"/>
    <mergeCell ref="B127:H127"/>
    <mergeCell ref="B128:H128"/>
    <mergeCell ref="B129:H129"/>
    <mergeCell ref="A130:I130"/>
    <mergeCell ref="B119:H119"/>
    <mergeCell ref="B120:H120"/>
    <mergeCell ref="B121:H121"/>
    <mergeCell ref="B122:H122"/>
    <mergeCell ref="B123:H123"/>
    <mergeCell ref="B124:H124"/>
  </mergeCells>
  <phoneticPr fontId="2"/>
  <conditionalFormatting sqref="I5:I11 I13:I31 I33:I41 I43:I46 I48:I52 I79:I86 I88:I93 I101:I108 I117:I129">
    <cfRule type="containsBlanks" dxfId="99" priority="3">
      <formula>LEN(TRIM(I5))=0</formula>
    </cfRule>
  </conditionalFormatting>
  <conditionalFormatting sqref="I54:I65">
    <cfRule type="containsBlanks" dxfId="98" priority="1">
      <formula>LEN(TRIM(I54))=0</formula>
    </cfRule>
  </conditionalFormatting>
  <dataValidations count="1">
    <dataValidation type="list" allowBlank="1" showInputMessage="1" showErrorMessage="1" sqref="I5:I11 I13:I31 I33:I41 I43:I46 I48:I52 I117:I129 I79:I86 I88:I93 I101:I108 I54:I65" xr:uid="{1BF71CF1-1DB0-45DC-8F8C-7A18A9F69292}">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oddHeader xml:space="preserve">&amp;L&amp;12
</oddHeader>
  </headerFooter>
  <rowBreaks count="3" manualBreakCount="3">
    <brk id="41" max="16383" man="1"/>
    <brk id="74" max="16383" man="1"/>
    <brk id="11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8884C-370D-41DE-B991-3FA4CC0AED38}">
  <sheetPr codeName="Sheet1">
    <pageSetUpPr fitToPage="1"/>
  </sheetPr>
  <dimension ref="A1:J19"/>
  <sheetViews>
    <sheetView zoomScaleNormal="100" zoomScaleSheetLayoutView="100" workbookViewId="0"/>
  </sheetViews>
  <sheetFormatPr defaultColWidth="9" defaultRowHeight="12"/>
  <cols>
    <col min="1" max="1" width="2.5" style="85" customWidth="1"/>
    <col min="2" max="2" width="17.5" style="85" bestFit="1" customWidth="1"/>
    <col min="3" max="4" width="7.58203125" style="85" customWidth="1"/>
    <col min="5" max="5" width="7.58203125" style="89" customWidth="1"/>
    <col min="6" max="6" width="11.25" style="85" bestFit="1" customWidth="1"/>
    <col min="7" max="8" width="11.25" style="85" customWidth="1"/>
    <col min="9" max="9" width="68.58203125" style="85" customWidth="1"/>
    <col min="10" max="10" width="10.83203125" style="85" bestFit="1" customWidth="1"/>
    <col min="11" max="16384" width="9" style="85"/>
  </cols>
  <sheetData>
    <row r="1" spans="1:10" ht="40" customHeight="1" thickBot="1">
      <c r="A1" s="106" t="s">
        <v>933</v>
      </c>
    </row>
    <row r="2" spans="1:10" s="89" customFormat="1" ht="47.25" customHeight="1" thickTop="1">
      <c r="B2" s="90" t="s">
        <v>166</v>
      </c>
      <c r="C2" s="88" t="s">
        <v>170</v>
      </c>
      <c r="D2" s="88" t="s">
        <v>171</v>
      </c>
      <c r="E2" s="540" t="s">
        <v>195</v>
      </c>
      <c r="F2" s="544" t="s">
        <v>790</v>
      </c>
      <c r="G2" s="542" t="s">
        <v>165</v>
      </c>
      <c r="H2" s="88" t="s">
        <v>789</v>
      </c>
      <c r="I2" s="90" t="s">
        <v>934</v>
      </c>
      <c r="J2" s="90" t="s">
        <v>281</v>
      </c>
    </row>
    <row r="3" spans="1:10" ht="30" customHeight="1">
      <c r="B3" s="44" t="s">
        <v>275</v>
      </c>
      <c r="C3" s="44">
        <v>8.64</v>
      </c>
      <c r="D3" s="101" t="str">
        <f>"MJ/"&amp;E3</f>
        <v>MJ/kWh</v>
      </c>
      <c r="E3" s="541" t="s">
        <v>169</v>
      </c>
      <c r="F3" s="701">
        <v>0.43</v>
      </c>
      <c r="G3" s="543" t="s">
        <v>285</v>
      </c>
      <c r="H3" s="105">
        <v>0.43</v>
      </c>
      <c r="I3" s="102" t="s">
        <v>1065</v>
      </c>
      <c r="J3" s="44" t="s">
        <v>277</v>
      </c>
    </row>
    <row r="4" spans="1:10" ht="30" customHeight="1">
      <c r="B4" s="44" t="s">
        <v>276</v>
      </c>
      <c r="C4" s="44">
        <v>38.11</v>
      </c>
      <c r="D4" s="101" t="str">
        <f t="shared" ref="D4" si="0">"MJ/"&amp;E4</f>
        <v>MJ/L</v>
      </c>
      <c r="E4" s="541" t="s">
        <v>167</v>
      </c>
      <c r="F4" s="701">
        <v>2.62</v>
      </c>
      <c r="G4" s="543" t="s">
        <v>286</v>
      </c>
      <c r="H4" s="105">
        <v>2.62</v>
      </c>
      <c r="I4" s="98" t="s">
        <v>174</v>
      </c>
      <c r="J4" s="44"/>
    </row>
    <row r="5" spans="1:10" ht="30" customHeight="1">
      <c r="B5" s="44" t="s">
        <v>634</v>
      </c>
      <c r="C5" s="44">
        <v>25.7</v>
      </c>
      <c r="D5" s="101" t="str">
        <f t="shared" ref="D5:D11" si="1">"MJ/"&amp;E5</f>
        <v>MJ/kg</v>
      </c>
      <c r="E5" s="541" t="s">
        <v>168</v>
      </c>
      <c r="F5" s="701">
        <v>2.33</v>
      </c>
      <c r="G5" s="543" t="s">
        <v>287</v>
      </c>
      <c r="H5" s="105">
        <v>2.33</v>
      </c>
      <c r="I5" s="102" t="s">
        <v>1064</v>
      </c>
      <c r="J5" s="44"/>
    </row>
    <row r="6" spans="1:10" ht="30" customHeight="1">
      <c r="B6" s="44" t="s">
        <v>633</v>
      </c>
      <c r="C6" s="100">
        <v>34.6</v>
      </c>
      <c r="D6" s="101" t="str">
        <f t="shared" si="1"/>
        <v>MJ/L</v>
      </c>
      <c r="E6" s="541" t="s">
        <v>167</v>
      </c>
      <c r="F6" s="701">
        <v>2.3199999999999998</v>
      </c>
      <c r="G6" s="543" t="s">
        <v>286</v>
      </c>
      <c r="H6" s="105">
        <v>2.3199999999999998</v>
      </c>
      <c r="I6" s="102" t="s">
        <v>172</v>
      </c>
      <c r="J6" s="44"/>
    </row>
    <row r="7" spans="1:10" ht="30" customHeight="1">
      <c r="B7" s="44" t="s">
        <v>632</v>
      </c>
      <c r="C7" s="100">
        <v>36.700000000000003</v>
      </c>
      <c r="D7" s="101" t="str">
        <f t="shared" si="1"/>
        <v>MJ/L</v>
      </c>
      <c r="E7" s="541" t="s">
        <v>167</v>
      </c>
      <c r="F7" s="701">
        <v>2.46</v>
      </c>
      <c r="G7" s="543" t="s">
        <v>286</v>
      </c>
      <c r="H7" s="105">
        <v>2.46</v>
      </c>
      <c r="I7" s="102" t="s">
        <v>172</v>
      </c>
      <c r="J7" s="44"/>
    </row>
    <row r="8" spans="1:10" ht="30" customHeight="1">
      <c r="B8" s="44" t="s">
        <v>631</v>
      </c>
      <c r="C8" s="100">
        <v>36.700000000000003</v>
      </c>
      <c r="D8" s="101" t="str">
        <f t="shared" si="1"/>
        <v>MJ/L</v>
      </c>
      <c r="E8" s="541" t="s">
        <v>167</v>
      </c>
      <c r="F8" s="701">
        <v>2.4900000000000002</v>
      </c>
      <c r="G8" s="543" t="s">
        <v>286</v>
      </c>
      <c r="H8" s="105">
        <v>2.4900000000000002</v>
      </c>
      <c r="I8" s="102" t="s">
        <v>172</v>
      </c>
      <c r="J8" s="44"/>
    </row>
    <row r="9" spans="1:10" ht="30" customHeight="1">
      <c r="B9" s="44" t="s">
        <v>630</v>
      </c>
      <c r="C9" s="100">
        <v>37.700000000000003</v>
      </c>
      <c r="D9" s="101" t="str">
        <f>"MJ/"&amp;E9</f>
        <v>MJ/L</v>
      </c>
      <c r="E9" s="541" t="s">
        <v>167</v>
      </c>
      <c r="F9" s="701">
        <v>2.58</v>
      </c>
      <c r="G9" s="543" t="s">
        <v>286</v>
      </c>
      <c r="H9" s="105">
        <v>2.58</v>
      </c>
      <c r="I9" s="102" t="s">
        <v>172</v>
      </c>
      <c r="J9" s="44"/>
    </row>
    <row r="10" spans="1:10" ht="30" customHeight="1">
      <c r="B10" s="44" t="s">
        <v>628</v>
      </c>
      <c r="C10" s="100">
        <v>39.1</v>
      </c>
      <c r="D10" s="101" t="str">
        <f t="shared" si="1"/>
        <v>MJ/L</v>
      </c>
      <c r="E10" s="541" t="s">
        <v>167</v>
      </c>
      <c r="F10" s="701">
        <v>2.71</v>
      </c>
      <c r="G10" s="543" t="s">
        <v>286</v>
      </c>
      <c r="H10" s="105">
        <v>2.71</v>
      </c>
      <c r="I10" s="102" t="s">
        <v>172</v>
      </c>
      <c r="J10" s="44"/>
    </row>
    <row r="11" spans="1:10" ht="30" customHeight="1">
      <c r="B11" s="44" t="s">
        <v>629</v>
      </c>
      <c r="C11" s="100">
        <v>41.9</v>
      </c>
      <c r="D11" s="101" t="str">
        <f t="shared" si="1"/>
        <v>MJ/L</v>
      </c>
      <c r="E11" s="541" t="s">
        <v>167</v>
      </c>
      <c r="F11" s="701">
        <v>3</v>
      </c>
      <c r="G11" s="543" t="s">
        <v>286</v>
      </c>
      <c r="H11" s="105">
        <v>3</v>
      </c>
      <c r="I11" s="102" t="s">
        <v>172</v>
      </c>
      <c r="J11" s="44"/>
    </row>
    <row r="12" spans="1:10" ht="30" customHeight="1">
      <c r="B12" s="44" t="s">
        <v>1062</v>
      </c>
      <c r="C12" s="100">
        <v>50.8</v>
      </c>
      <c r="D12" s="101" t="str">
        <f t="shared" ref="D12:D13" si="2">"MJ/"&amp;E12</f>
        <v>MJ/kg</v>
      </c>
      <c r="E12" s="541" t="s">
        <v>168</v>
      </c>
      <c r="F12" s="701">
        <v>3</v>
      </c>
      <c r="G12" s="543" t="s">
        <v>287</v>
      </c>
      <c r="H12" s="105">
        <v>3</v>
      </c>
      <c r="I12" s="102" t="s">
        <v>172</v>
      </c>
      <c r="J12" s="44" t="s">
        <v>278</v>
      </c>
    </row>
    <row r="13" spans="1:10" ht="30" customHeight="1">
      <c r="B13" s="44" t="s">
        <v>1063</v>
      </c>
      <c r="C13" s="100">
        <v>54.6</v>
      </c>
      <c r="D13" s="101" t="str">
        <f t="shared" si="2"/>
        <v>MJ/kg</v>
      </c>
      <c r="E13" s="541" t="s">
        <v>168</v>
      </c>
      <c r="F13" s="701">
        <v>2.7</v>
      </c>
      <c r="G13" s="543" t="s">
        <v>287</v>
      </c>
      <c r="H13" s="105">
        <v>2.7</v>
      </c>
      <c r="I13" s="102" t="s">
        <v>172</v>
      </c>
      <c r="J13" s="44" t="s">
        <v>279</v>
      </c>
    </row>
    <row r="14" spans="1:10" ht="30" customHeight="1">
      <c r="B14" s="99" t="s">
        <v>282</v>
      </c>
      <c r="C14" s="100">
        <v>39.75</v>
      </c>
      <c r="D14" s="101" t="str">
        <f>"MJ/"&amp;E14</f>
        <v>MJ/m3</v>
      </c>
      <c r="E14" s="541" t="s">
        <v>284</v>
      </c>
      <c r="F14" s="701">
        <v>2.14</v>
      </c>
      <c r="G14" s="543" t="s">
        <v>283</v>
      </c>
      <c r="H14" s="44">
        <v>2.14</v>
      </c>
      <c r="I14" s="102" t="s">
        <v>173</v>
      </c>
      <c r="J14" s="44" t="s">
        <v>280</v>
      </c>
    </row>
    <row r="15" spans="1:10" ht="20.149999999999999" customHeight="1">
      <c r="B15" s="44"/>
      <c r="C15" s="100"/>
      <c r="D15" s="44"/>
      <c r="E15" s="541"/>
      <c r="F15" s="545"/>
      <c r="G15" s="543"/>
      <c r="H15" s="44"/>
      <c r="I15" s="98"/>
      <c r="J15" s="44"/>
    </row>
    <row r="16" spans="1:10" ht="20.149999999999999" customHeight="1" thickBot="1">
      <c r="B16" s="44"/>
      <c r="C16" s="100"/>
      <c r="D16" s="44"/>
      <c r="E16" s="541"/>
      <c r="F16" s="546"/>
      <c r="G16" s="543"/>
      <c r="H16" s="44"/>
      <c r="I16" s="98"/>
      <c r="J16" s="44"/>
    </row>
    <row r="17" spans="2:10" ht="12.5" thickTop="1">
      <c r="B17" s="700">
        <v>1</v>
      </c>
      <c r="C17" s="700">
        <v>2</v>
      </c>
      <c r="D17" s="700">
        <v>3</v>
      </c>
      <c r="E17" s="700">
        <v>4</v>
      </c>
      <c r="F17" s="700">
        <v>5</v>
      </c>
      <c r="G17" s="700">
        <v>6</v>
      </c>
      <c r="H17" s="700"/>
      <c r="I17" s="700">
        <v>7</v>
      </c>
      <c r="J17" s="700">
        <v>8</v>
      </c>
    </row>
    <row r="19" spans="2:10" ht="24">
      <c r="C19" s="103"/>
      <c r="D19" s="103"/>
      <c r="G19" s="103">
        <v>2.58E-5</v>
      </c>
      <c r="H19" s="103"/>
      <c r="I19" s="104" t="s">
        <v>164</v>
      </c>
    </row>
  </sheetData>
  <phoneticPr fontId="82"/>
  <pageMargins left="0.7" right="0.7" top="0.75" bottom="0.75" header="0.3" footer="0.3"/>
  <pageSetup paperSize="9" scale="51"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DE303-CA22-43F7-AE89-218D1DFE0D4A}">
  <sheetPr>
    <tabColor rgb="FF0000FF"/>
    <pageSetUpPr fitToPage="1"/>
  </sheetPr>
  <dimension ref="A1"/>
  <sheetViews>
    <sheetView zoomScaleNormal="100" workbookViewId="0"/>
  </sheetViews>
  <sheetFormatPr defaultRowHeight="18"/>
  <cols>
    <col min="1" max="16384" width="8.6640625" style="48"/>
  </cols>
  <sheetData>
    <row r="1" spans="1:1" ht="23.5">
      <c r="A1" s="107" t="s">
        <v>1164</v>
      </c>
    </row>
  </sheetData>
  <phoneticPr fontId="2"/>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実績表1</vt:lpstr>
      <vt:lpstr>実績表2</vt:lpstr>
      <vt:lpstr>実績表３・４</vt:lpstr>
      <vt:lpstr>実績表5</vt:lpstr>
      <vt:lpstr>【自動】可視化シート</vt:lpstr>
      <vt:lpstr>チェック表(事業者版)</vt:lpstr>
      <vt:lpstr>チェック表(工場･施設版)</vt:lpstr>
      <vt:lpstr>(参考)排出係数</vt:lpstr>
      <vt:lpstr>【これより右は必要に応じて活用】</vt:lpstr>
      <vt:lpstr>【結果】簡易診断シート</vt:lpstr>
      <vt:lpstr>【共通】事業所の光熱費</vt:lpstr>
      <vt:lpstr>設備ごとのシートの入力方法</vt:lpstr>
      <vt:lpstr>1)自動車</vt:lpstr>
      <vt:lpstr>2)照明</vt:lpstr>
      <vt:lpstr>3)空調(電気)</vt:lpstr>
      <vt:lpstr>4)空調(GHP)</vt:lpstr>
      <vt:lpstr>5)ボイラー・給湯器</vt:lpstr>
      <vt:lpstr>6)モーター</vt:lpstr>
      <vt:lpstr>7)変圧器</vt:lpstr>
      <vt:lpstr>8)冷凍庫・冷蔵庫</vt:lpstr>
      <vt:lpstr>9)太陽光</vt:lpstr>
      <vt:lpstr>10)小水力</vt:lpstr>
      <vt:lpstr>11)蓄電池</vt:lpstr>
      <vt:lpstr>12)その他産業設備(燃料)</vt:lpstr>
      <vt:lpstr>13)その他産業設備(電気)</vt:lpstr>
      <vt:lpstr>(参考)モーター効率</vt:lpstr>
      <vt:lpstr>【結果】簡易診断シート!Print_Area</vt:lpstr>
      <vt:lpstr>【自動】可視化シート!Print_Area</vt:lpstr>
      <vt:lpstr>'1)自動車'!Print_Area</vt:lpstr>
      <vt:lpstr>'10)小水力'!Print_Area</vt:lpstr>
      <vt:lpstr>'12)その他産業設備(燃料)'!Print_Area</vt:lpstr>
      <vt:lpstr>'13)その他産業設備(電気)'!Print_Area</vt:lpstr>
      <vt:lpstr>'2)照明'!Print_Area</vt:lpstr>
      <vt:lpstr>'3)空調(電気)'!Print_Area</vt:lpstr>
      <vt:lpstr>'4)空調(GHP)'!Print_Area</vt:lpstr>
      <vt:lpstr>'5)ボイラー・給湯器'!Print_Area</vt:lpstr>
      <vt:lpstr>'6)モーター'!Print_Area</vt:lpstr>
      <vt:lpstr>'7)変圧器'!Print_Area</vt:lpstr>
      <vt:lpstr>'8)冷凍庫・冷蔵庫'!Print_Area</vt:lpstr>
      <vt:lpstr>'9)太陽光'!Print_Area</vt:lpstr>
      <vt:lpstr>'チェック表(工場･施設版)'!Print_Area</vt:lpstr>
      <vt:lpstr>'チェック表(事業者版)'!Print_Area</vt:lpstr>
      <vt:lpstr>実績表1!Print_Area</vt:lpstr>
      <vt:lpstr>実績表2!Print_Area</vt:lpstr>
      <vt:lpstr>実績表３・４!Print_Area</vt:lpstr>
      <vt:lpstr>実績表5!Print_Area</vt:lpstr>
      <vt:lpstr>rangeIE1</vt:lpstr>
      <vt:lpstr>rangeIE2</vt:lpstr>
      <vt:lpstr>rangeIE3</vt:lpstr>
      <vt:lpstr>rangeIE4</vt:lpstr>
      <vt:lpstr>コンプレッサー</vt:lpstr>
      <vt:lpstr>乾燥機</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吉道 俊一</dc:creator>
  <cp:lastModifiedBy>加藤　大貴</cp:lastModifiedBy>
  <cp:lastPrinted>2026-03-02T09:48:39Z</cp:lastPrinted>
  <dcterms:created xsi:type="dcterms:W3CDTF">2025-12-03T08:00:24Z</dcterms:created>
  <dcterms:modified xsi:type="dcterms:W3CDTF">2026-03-03T09:57:14Z</dcterms:modified>
</cp:coreProperties>
</file>