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7005" tabRatio="942" firstSheet="1" activeTab="1"/>
  </bookViews>
  <sheets>
    <sheet name="2給食における給与栄養量の基準算出表" sheetId="1" r:id="rId1"/>
    <sheet name="３－１体格評価・推定エネルギー必要量(記入例)" sheetId="2" r:id="rId2"/>
    <sheet name="３－２体格評価・推定エネルギー必要量" sheetId="3" r:id="rId3"/>
  </sheets>
  <definedNames>
    <definedName name="_xlfn.COUNTIFS" hidden="1">#NAME?</definedName>
    <definedName name="_xlnm.Print_Area" localSheetId="0">'2給食における給与栄養量の基準算出表'!$A$1:$O$53</definedName>
    <definedName name="_xlnm.Print_Area" localSheetId="1">'３－１体格評価・推定エネルギー必要量(記入例)'!$A$1:$T$63</definedName>
  </definedNames>
  <calcPr fullCalcOnLoad="1"/>
</workbook>
</file>

<file path=xl/sharedStrings.xml><?xml version="1.0" encoding="utf-8"?>
<sst xmlns="http://schemas.openxmlformats.org/spreadsheetml/2006/main" count="453" uniqueCount="185">
  <si>
    <t>Ⅰ　１～2歳児の給与栄養目標量</t>
  </si>
  <si>
    <t>エネルギー</t>
  </si>
  <si>
    <t>エネルギー</t>
  </si>
  <si>
    <t>たんぱく質</t>
  </si>
  <si>
    <t>脂質</t>
  </si>
  <si>
    <t>炭水化物</t>
  </si>
  <si>
    <t>カルシウム</t>
  </si>
  <si>
    <t>カルシウム</t>
  </si>
  <si>
    <t>鉄</t>
  </si>
  <si>
    <t>ビタミンA</t>
  </si>
  <si>
    <t>ビタミンA</t>
  </si>
  <si>
    <t>ビタミンB1</t>
  </si>
  <si>
    <t>ビタミンB2</t>
  </si>
  <si>
    <t>ビタミンB2</t>
  </si>
  <si>
    <t>ビタミンC</t>
  </si>
  <si>
    <t>ビタミンC</t>
  </si>
  <si>
    <t>食物繊維</t>
  </si>
  <si>
    <t>食塩相当量</t>
  </si>
  <si>
    <t>(kcal)</t>
  </si>
  <si>
    <t>(g)</t>
  </si>
  <si>
    <t>(g)</t>
  </si>
  <si>
    <t>（ｇ）</t>
  </si>
  <si>
    <t>（ｇ）</t>
  </si>
  <si>
    <t>(mg)</t>
  </si>
  <si>
    <t>(mg)</t>
  </si>
  <si>
    <t>食事摂取基準(A)</t>
  </si>
  <si>
    <r>
      <t>(13～20%)</t>
    </r>
    <r>
      <rPr>
        <vertAlign val="superscript"/>
        <sz val="8"/>
        <rFont val="BIZ UDPゴシック"/>
        <family val="3"/>
      </rPr>
      <t>＊１</t>
    </r>
  </si>
  <si>
    <r>
      <t>(20～30%)</t>
    </r>
    <r>
      <rPr>
        <vertAlign val="superscript"/>
        <sz val="8"/>
        <rFont val="BIZ UDPゴシック"/>
        <family val="3"/>
      </rPr>
      <t>＊１</t>
    </r>
  </si>
  <si>
    <r>
      <t>(50～65%)</t>
    </r>
    <r>
      <rPr>
        <vertAlign val="superscript"/>
        <sz val="8"/>
        <rFont val="BIZ UDPゴシック"/>
        <family val="3"/>
      </rPr>
      <t>＊1</t>
    </r>
  </si>
  <si>
    <t>(1日当たり）</t>
  </si>
  <si>
    <t>昼食＋おやつの比率(=B%)</t>
  </si>
  <si>
    <t>１日の給与栄養目標量</t>
  </si>
  <si>
    <t>（C=A×B/100)</t>
  </si>
  <si>
    <t>保育所における給与栄養目標量</t>
  </si>
  <si>
    <t>(Cを丸めた値)</t>
  </si>
  <si>
    <t>Ⅱ　3～5歳児の給与栄養目標量</t>
  </si>
  <si>
    <t>カルシウム</t>
  </si>
  <si>
    <t>(kcal)</t>
  </si>
  <si>
    <t>(mg)</t>
  </si>
  <si>
    <t>（C=A×B/100)</t>
  </si>
  <si>
    <t>家庭から持参する米飯（　　　　　g)</t>
  </si>
  <si>
    <r>
      <t>の栄養量(D)</t>
    </r>
    <r>
      <rPr>
        <vertAlign val="superscript"/>
        <sz val="9.5"/>
        <rFont val="BIZ UDPゴシック"/>
        <family val="3"/>
      </rPr>
      <t>＊３</t>
    </r>
  </si>
  <si>
    <t>E=C-D</t>
  </si>
  <si>
    <t>(Eを丸めた値)</t>
  </si>
  <si>
    <t>ビタミンA</t>
  </si>
  <si>
    <t>ビタミンB1</t>
  </si>
  <si>
    <t>(kcal)</t>
  </si>
  <si>
    <t>(g)</t>
  </si>
  <si>
    <t>(g)</t>
  </si>
  <si>
    <t>(mg)</t>
  </si>
  <si>
    <r>
      <t>(57.5%)</t>
    </r>
    <r>
      <rPr>
        <vertAlign val="superscript"/>
        <sz val="8"/>
        <rFont val="BIZ UDPゴシック"/>
        <family val="3"/>
      </rPr>
      <t>＊1</t>
    </r>
  </si>
  <si>
    <t>昼食＋おやつの比率(B％)</t>
  </si>
  <si>
    <t>*2　昼食は1日全体の概ね1/3、おやつは1日全体の10～20％を目安とする。</t>
  </si>
  <si>
    <t>*3　３歳以上児が家庭から実際持参する主食量を参考にしながら、実現可能な望ましい量として設定する。</t>
  </si>
  <si>
    <t>別紙２　　給食における給与栄養量の基準算出表</t>
  </si>
  <si>
    <t>クラス名</t>
  </si>
  <si>
    <t>児童名</t>
  </si>
  <si>
    <t>①</t>
  </si>
  <si>
    <t>②</t>
  </si>
  <si>
    <t>③</t>
  </si>
  <si>
    <t>④</t>
  </si>
  <si>
    <t>⑤</t>
  </si>
  <si>
    <t>人　　数</t>
  </si>
  <si>
    <t>【肥満度】</t>
  </si>
  <si>
    <t>やせすぎ</t>
  </si>
  <si>
    <t>５歳児</t>
  </si>
  <si>
    <t>４歳児</t>
  </si>
  <si>
    <t>３歳児</t>
  </si>
  <si>
    <t>２歳児</t>
  </si>
  <si>
    <t>１歳児</t>
  </si>
  <si>
    <t>０歳児</t>
  </si>
  <si>
    <t>区分</t>
  </si>
  <si>
    <t>呼称</t>
  </si>
  <si>
    <t>やせ</t>
  </si>
  <si>
    <t>男</t>
  </si>
  <si>
    <t>女</t>
  </si>
  <si>
    <t>+30％以上</t>
  </si>
  <si>
    <t>ふとりすぎ</t>
  </si>
  <si>
    <t>ふつう</t>
  </si>
  <si>
    <t>ふとりすぎ</t>
  </si>
  <si>
    <t>+20％以上+30％未満</t>
  </si>
  <si>
    <t>ややふとりすぎ</t>
  </si>
  <si>
    <t>ふとりぎみ</t>
  </si>
  <si>
    <t>+15％以上+20％未満</t>
  </si>
  <si>
    <t>ややふとりすぎ</t>
  </si>
  <si>
    <t>ふとりぎみ</t>
  </si>
  <si>
    <t>-15％超+15％未満</t>
  </si>
  <si>
    <t>ふつう</t>
  </si>
  <si>
    <t>ふつう</t>
  </si>
  <si>
    <t>-20％超-15％以下</t>
  </si>
  <si>
    <t>やせ</t>
  </si>
  <si>
    <t>-20％以下</t>
  </si>
  <si>
    <t>やせすぎ</t>
  </si>
  <si>
    <t>やせすぎ</t>
  </si>
  <si>
    <t>身長70cm未満</t>
  </si>
  <si>
    <t>測定不可</t>
  </si>
  <si>
    <t>合計</t>
  </si>
  <si>
    <t>学年</t>
  </si>
  <si>
    <t>年齢区分</t>
  </si>
  <si>
    <t>肥満区分</t>
  </si>
  <si>
    <t>基礎代謝
基準値</t>
  </si>
  <si>
    <t>基礎代謝量</t>
  </si>
  <si>
    <t>身体活動
レベル</t>
  </si>
  <si>
    <t>エネルギー蓄積量</t>
  </si>
  <si>
    <t>〇〇</t>
  </si>
  <si>
    <t>●●　●●</t>
  </si>
  <si>
    <t>〇〇</t>
  </si>
  <si>
    <t>△△</t>
  </si>
  <si>
    <t>△△</t>
  </si>
  <si>
    <t>□□</t>
  </si>
  <si>
    <t>□□</t>
  </si>
  <si>
    <t>□□</t>
  </si>
  <si>
    <t>○○○</t>
  </si>
  <si>
    <t>○○○</t>
  </si>
  <si>
    <t>△△△</t>
  </si>
  <si>
    <t>□□□</t>
  </si>
  <si>
    <t>□□□</t>
  </si>
  <si>
    <t>別紙３－１　体格評価・推定エネルギー必要量算出表(記入例)</t>
  </si>
  <si>
    <t>加賀市より一部改変</t>
  </si>
  <si>
    <r>
      <t>白色のセルには計算式が入っています。</t>
    </r>
    <r>
      <rPr>
        <b/>
        <sz val="14"/>
        <rFont val="BIZ UDPゴシック"/>
        <family val="3"/>
      </rPr>
      <t>緑色のセルのみ入力</t>
    </r>
    <r>
      <rPr>
        <sz val="14"/>
        <rFont val="BIZ UDPゴシック"/>
        <family val="3"/>
      </rPr>
      <t>してください。</t>
    </r>
  </si>
  <si>
    <r>
      <rPr>
        <b/>
        <sz val="14"/>
        <rFont val="BIZ UDPゴシック"/>
        <family val="3"/>
      </rPr>
      <t>男児の身長別標準体重kg</t>
    </r>
    <r>
      <rPr>
        <sz val="14"/>
        <rFont val="BIZ UDPゴシック"/>
        <family val="3"/>
      </rPr>
      <t xml:space="preserve">＝0.00206×身長cm×身長cm－0.1166×身長cm＋6.5273　
</t>
    </r>
  </si>
  <si>
    <r>
      <rPr>
        <b/>
        <sz val="14"/>
        <rFont val="BIZ UDPゴシック"/>
        <family val="3"/>
      </rPr>
      <t>女児の身長別標準体重kg</t>
    </r>
    <r>
      <rPr>
        <sz val="14"/>
        <rFont val="BIZ UDPゴシック"/>
        <family val="3"/>
      </rPr>
      <t>＝0.00249×身長cm×身長cm－0.1858×身長cm＋9.0360</t>
    </r>
  </si>
  <si>
    <r>
      <rPr>
        <b/>
        <sz val="14"/>
        <rFont val="BIZ UDPゴシック"/>
        <family val="3"/>
      </rPr>
      <t>肥満度％</t>
    </r>
    <r>
      <rPr>
        <sz val="14"/>
        <rFont val="BIZ UDPゴシック"/>
        <family val="3"/>
      </rPr>
      <t>＝（実測体重kg－身長別標準体重kg）/身長別標準体重kg×100　</t>
    </r>
  </si>
  <si>
    <r>
      <rPr>
        <b/>
        <sz val="14"/>
        <rFont val="BIZ UDPゴシック"/>
        <family val="3"/>
      </rPr>
      <t>基礎代謝量kcal/日</t>
    </r>
    <r>
      <rPr>
        <sz val="14"/>
        <rFont val="BIZ UDPゴシック"/>
        <family val="3"/>
      </rPr>
      <t>＝基礎代謝基準値kcal/kg体重/日×身長別標準体重(kg）</t>
    </r>
  </si>
  <si>
    <r>
      <t>推定エネルギー必要量kcal/日</t>
    </r>
    <r>
      <rPr>
        <sz val="14"/>
        <rFont val="BIZ UDPゴシック"/>
        <family val="3"/>
      </rPr>
      <t>＝基礎代謝量kcal/日×身体活動レベル＋Hエネルギー蓄積量kcal/日</t>
    </r>
  </si>
  <si>
    <r>
      <t xml:space="preserve">№
</t>
    </r>
    <r>
      <rPr>
        <sz val="9"/>
        <rFont val="BIZ UDPゴシック"/>
        <family val="3"/>
      </rPr>
      <t>（任意）</t>
    </r>
  </si>
  <si>
    <r>
      <t xml:space="preserve">性別
</t>
    </r>
    <r>
      <rPr>
        <sz val="9"/>
        <rFont val="BIZ UDPゴシック"/>
        <family val="3"/>
      </rPr>
      <t>（男、女）</t>
    </r>
  </si>
  <si>
    <r>
      <t xml:space="preserve">生年月日
</t>
    </r>
    <r>
      <rPr>
        <sz val="9"/>
        <rFont val="BIZ UDPゴシック"/>
        <family val="3"/>
      </rPr>
      <t>（例：2010/5/1）</t>
    </r>
  </si>
  <si>
    <r>
      <t xml:space="preserve">測定日
</t>
    </r>
    <r>
      <rPr>
        <sz val="9"/>
        <rFont val="BIZ UDPゴシック"/>
        <family val="3"/>
      </rPr>
      <t>（例:2014/4/15）</t>
    </r>
  </si>
  <si>
    <r>
      <t xml:space="preserve">身長
</t>
    </r>
    <r>
      <rPr>
        <sz val="9"/>
        <rFont val="BIZ UDPゴシック"/>
        <family val="3"/>
      </rPr>
      <t>（cm）</t>
    </r>
  </si>
  <si>
    <r>
      <t xml:space="preserve">体重
</t>
    </r>
    <r>
      <rPr>
        <sz val="9"/>
        <rFont val="BIZ UDPゴシック"/>
        <family val="3"/>
      </rPr>
      <t>（㎏）</t>
    </r>
  </si>
  <si>
    <r>
      <t xml:space="preserve">満年齢
</t>
    </r>
    <r>
      <rPr>
        <sz val="9"/>
        <rFont val="BIZ UDPゴシック"/>
        <family val="3"/>
      </rPr>
      <t>（歳）</t>
    </r>
  </si>
  <si>
    <r>
      <t xml:space="preserve">肥満度
</t>
    </r>
    <r>
      <rPr>
        <sz val="9"/>
        <rFont val="BIZ UDPゴシック"/>
        <family val="3"/>
      </rPr>
      <t>（％）</t>
    </r>
  </si>
  <si>
    <t>石川　太郎</t>
  </si>
  <si>
    <t>家庭から持参する米飯（110g)</t>
  </si>
  <si>
    <t>*1　たんぱく質、脂質及び炭水化物については、％エネルギーとして幅を考える。例では、中間値を用いた。ただし、炭水化物は</t>
  </si>
  <si>
    <r>
      <t>(16.5%の丸め値)</t>
    </r>
    <r>
      <rPr>
        <vertAlign val="superscript"/>
        <sz val="8"/>
        <rFont val="BIZ UDPゴシック"/>
        <family val="3"/>
      </rPr>
      <t>＊１</t>
    </r>
  </si>
  <si>
    <t>8以上</t>
  </si>
  <si>
    <t>3.5未満</t>
  </si>
  <si>
    <t>1.6未満</t>
  </si>
  <si>
    <t>2以上</t>
  </si>
  <si>
    <t>カリウム</t>
  </si>
  <si>
    <t>1,400以上</t>
  </si>
  <si>
    <t>600以上</t>
  </si>
  <si>
    <t>※食事摂取基準（A)の算出方法については、第2章3.栄養管理の実際(P10)参照。</t>
  </si>
  <si>
    <t>Ⅲ　例．3～5歳児、「昼食＋おやつ」の給与比率を1日の45％とした場合※</t>
  </si>
  <si>
    <t>エネルギー</t>
  </si>
  <si>
    <t>カルシウム</t>
  </si>
  <si>
    <t>カリウム</t>
  </si>
  <si>
    <t>ビタミンA</t>
  </si>
  <si>
    <t>ビタミンB1</t>
  </si>
  <si>
    <t>ビタミンB2</t>
  </si>
  <si>
    <t>ビタミンC</t>
  </si>
  <si>
    <t>(kcal)</t>
  </si>
  <si>
    <t>(g)</t>
  </si>
  <si>
    <t>（ｇ）</t>
  </si>
  <si>
    <t>(mg)</t>
  </si>
  <si>
    <t>(μgRE)</t>
  </si>
  <si>
    <t>(25%の丸め値)＊１</t>
  </si>
  <si>
    <t>(57.5%)＊1</t>
  </si>
  <si>
    <t>（C=A×B/100)</t>
  </si>
  <si>
    <t>E=C-D</t>
  </si>
  <si>
    <r>
      <t>(16.5%)</t>
    </r>
    <r>
      <rPr>
        <vertAlign val="superscript"/>
        <sz val="8"/>
        <rFont val="BIZ UDPゴシック"/>
        <family val="3"/>
      </rPr>
      <t>＊１</t>
    </r>
  </si>
  <si>
    <r>
      <t>(25%)</t>
    </r>
    <r>
      <rPr>
        <vertAlign val="superscript"/>
        <sz val="8"/>
        <rFont val="BIZ UDPゴシック"/>
        <family val="3"/>
      </rPr>
      <t>＊１</t>
    </r>
  </si>
  <si>
    <t>1,400（以上）</t>
  </si>
  <si>
    <t>8（以上）</t>
  </si>
  <si>
    <t>3.5（未満）</t>
  </si>
  <si>
    <t>※食事摂取基準（A)の算出方法については、第2章3.栄養管理の実際参照。</t>
  </si>
  <si>
    <t>*2　昼食は1日のエネルギーの概ね1/3を、おやつは1日のエネルギーの10～20％程度の量を目安とする。</t>
  </si>
  <si>
    <t>*1　たんぱく質、脂質及び炭水化物については、％エネルギーとして幅を考える。例では、中間値を用いた。ただし、炭水化物は全体のエネルギ－からたんぱく質と脂質のエネルギーを減じて設定してもよい。</t>
  </si>
  <si>
    <t>施設名：</t>
  </si>
  <si>
    <r>
      <rPr>
        <b/>
        <sz val="14"/>
        <rFont val="BIZ UDPゴシック"/>
        <family val="3"/>
      </rPr>
      <t>乳幼児身体発育ﾊﾟｰｾﾝﾀｲﾙ曲線</t>
    </r>
    <r>
      <rPr>
        <sz val="14"/>
        <rFont val="BIZ UDPゴシック"/>
        <family val="3"/>
      </rPr>
      <t>(男児は別紙４－１、女児は別紙４－２)より、身長と体重をおのおのの成長曲線で判定します。</t>
    </r>
  </si>
  <si>
    <r>
      <t>身長別標準体重</t>
    </r>
    <r>
      <rPr>
        <sz val="9"/>
        <rFont val="BIZ UDPゴシック"/>
        <family val="3"/>
      </rPr>
      <t>(kg）</t>
    </r>
  </si>
  <si>
    <t>推定エネルギー必要量</t>
  </si>
  <si>
    <t>推定エネルギー必要量（丸め値）</t>
  </si>
  <si>
    <t>(μgRAE)</t>
  </si>
  <si>
    <t>食事摂取基準（2020年版）(A)</t>
  </si>
  <si>
    <t>別紙３－２　体格評価・推定エネルギー必要量算出表</t>
  </si>
  <si>
    <r>
      <t>白色のセルには計算式が入っています。</t>
    </r>
    <r>
      <rPr>
        <b/>
        <sz val="14"/>
        <rFont val="HGSｺﾞｼｯｸM"/>
        <family val="3"/>
      </rPr>
      <t>緑色のセルのみ入力</t>
    </r>
    <r>
      <rPr>
        <sz val="14"/>
        <rFont val="HGSｺﾞｼｯｸM"/>
        <family val="3"/>
      </rPr>
      <t>してください。</t>
    </r>
  </si>
  <si>
    <r>
      <rPr>
        <b/>
        <sz val="14"/>
        <rFont val="HGSｺﾞｼｯｸM"/>
        <family val="3"/>
      </rPr>
      <t>男児の身長別標準体重kg</t>
    </r>
    <r>
      <rPr>
        <sz val="14"/>
        <rFont val="HGSｺﾞｼｯｸM"/>
        <family val="3"/>
      </rPr>
      <t xml:space="preserve">＝0.00206×身長cm×身長cm－0.1166×身長cm＋6.5273　
</t>
    </r>
  </si>
  <si>
    <r>
      <rPr>
        <b/>
        <sz val="14"/>
        <rFont val="HGSｺﾞｼｯｸM"/>
        <family val="3"/>
      </rPr>
      <t>女児の身長別標準体重kg</t>
    </r>
    <r>
      <rPr>
        <sz val="14"/>
        <rFont val="HGSｺﾞｼｯｸM"/>
        <family val="3"/>
      </rPr>
      <t>＝0.00249×身長cm×身長cm－0.1858×身長cm＋9.0360</t>
    </r>
  </si>
  <si>
    <r>
      <rPr>
        <b/>
        <sz val="14"/>
        <rFont val="HGSｺﾞｼｯｸM"/>
        <family val="3"/>
      </rPr>
      <t>肥満度％</t>
    </r>
    <r>
      <rPr>
        <sz val="14"/>
        <rFont val="HGSｺﾞｼｯｸM"/>
        <family val="3"/>
      </rPr>
      <t>＝（実測体重kg－身長別標準体重kg）/身長別標準体重kg×100　</t>
    </r>
  </si>
  <si>
    <r>
      <rPr>
        <b/>
        <sz val="14"/>
        <rFont val="HGSｺﾞｼｯｸM"/>
        <family val="3"/>
      </rPr>
      <t>基礎代謝量kcal/日</t>
    </r>
    <r>
      <rPr>
        <sz val="14"/>
        <rFont val="HGSｺﾞｼｯｸM"/>
        <family val="3"/>
      </rPr>
      <t>＝基礎代謝基準値kcal/kg体重/日×身長別標準体重(kg）</t>
    </r>
  </si>
  <si>
    <r>
      <t>推定エネルギー必要量kcal/日</t>
    </r>
    <r>
      <rPr>
        <sz val="14"/>
        <rFont val="HGSｺﾞｼｯｸM"/>
        <family val="3"/>
      </rPr>
      <t>＝基礎代謝量kcal/日×身体活動レベル＋Hエネルギー蓄積量kcal/日</t>
    </r>
  </si>
  <si>
    <t>3～5歳児（No.１～１５）の推定エネルギ―必要量の分布グラフ（第2章栄養管理　P17参照）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</si>
</sst>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9.5"/>
      <name val="BIZ UDPゴシック"/>
      <family val="3"/>
    </font>
    <font>
      <sz val="8"/>
      <name val="BIZ UDPゴシック"/>
      <family val="3"/>
    </font>
    <font>
      <vertAlign val="superscript"/>
      <sz val="8"/>
      <name val="BIZ UDPゴシック"/>
      <family val="3"/>
    </font>
    <font>
      <vertAlign val="superscript"/>
      <sz val="9.5"/>
      <name val="BIZ UDPゴシック"/>
      <family val="3"/>
    </font>
    <font>
      <b/>
      <sz val="16"/>
      <name val="BIZ UDPゴシック"/>
      <family val="3"/>
    </font>
    <font>
      <sz val="14"/>
      <name val="BIZ UDPゴシック"/>
      <family val="3"/>
    </font>
    <font>
      <sz val="18"/>
      <name val="BIZ UDPゴシック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sz val="14"/>
      <name val="HGSｺﾞｼｯｸM"/>
      <family val="3"/>
    </font>
    <font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BIZ UDPゴシック"/>
      <family val="3"/>
    </font>
    <font>
      <sz val="9.5"/>
      <color indexed="8"/>
      <name val="BIZ UDPゴシック"/>
      <family val="3"/>
    </font>
    <font>
      <sz val="11"/>
      <color indexed="9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BIZ UDPゴシック"/>
      <family val="3"/>
    </font>
    <font>
      <sz val="9.5"/>
      <color theme="1"/>
      <name val="BIZ UDPゴシック"/>
      <family val="3"/>
    </font>
    <font>
      <sz val="11"/>
      <color theme="0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hair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/>
      <right style="hair"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 style="thin"/>
    </border>
    <border>
      <left style="thick"/>
      <right style="thin"/>
      <top style="thick"/>
      <bottom style="thin"/>
    </border>
    <border>
      <left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hair"/>
      <top style="thick"/>
      <bottom/>
    </border>
    <border>
      <left/>
      <right style="hair"/>
      <top style="thick"/>
      <bottom/>
    </border>
    <border>
      <left style="hair"/>
      <right style="hair"/>
      <top style="thick"/>
      <bottom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/>
      <right style="hair"/>
      <top/>
      <bottom style="thick"/>
    </border>
    <border>
      <left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hair"/>
      <top>
        <color indexed="63"/>
      </top>
      <bottom style="thick"/>
    </border>
    <border>
      <left style="hair"/>
      <right style="medium"/>
      <top/>
      <bottom style="thick"/>
    </border>
    <border>
      <left style="medium"/>
      <right style="hair"/>
      <top style="thin"/>
      <bottom style="thick"/>
    </border>
    <border>
      <left style="hair"/>
      <right>
        <color indexed="63"/>
      </right>
      <top style="thick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/>
    </border>
    <border>
      <left/>
      <right style="hair"/>
      <top>
        <color indexed="63"/>
      </top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/>
    </border>
    <border>
      <left style="medium"/>
      <right style="hair"/>
      <top style="thin"/>
      <bottom style="medium"/>
    </border>
    <border>
      <left/>
      <right style="hair"/>
      <top/>
      <bottom style="medium"/>
    </border>
    <border>
      <left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/>
      <top style="medium"/>
      <bottom style="thin"/>
    </border>
    <border>
      <left/>
      <right style="hair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/>
      <protection/>
    </xf>
    <xf numFmtId="0" fontId="4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vertical="center"/>
      <protection locked="0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57" xfId="0" applyFont="1" applyBorder="1" applyAlignment="1" quotePrefix="1">
      <alignment vertical="center" shrinkToFit="1"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0" fontId="3" fillId="0" borderId="61" xfId="0" applyFont="1" applyBorder="1" applyAlignment="1" applyProtection="1">
      <alignment horizontal="center" vertical="center" shrinkToFit="1"/>
      <protection/>
    </xf>
    <xf numFmtId="0" fontId="3" fillId="0" borderId="62" xfId="0" applyFont="1" applyBorder="1" applyAlignment="1" applyProtection="1">
      <alignment horizontal="center" vertical="center" shrinkToFit="1"/>
      <protection/>
    </xf>
    <xf numFmtId="0" fontId="3" fillId="0" borderId="63" xfId="0" applyFont="1" applyBorder="1" applyAlignment="1" applyProtection="1">
      <alignment horizontal="center" vertical="center" shrinkToFit="1"/>
      <protection/>
    </xf>
    <xf numFmtId="0" fontId="3" fillId="0" borderId="64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10" fillId="0" borderId="37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3" fillId="33" borderId="65" xfId="0" applyFont="1" applyFill="1" applyBorder="1" applyAlignment="1" applyProtection="1">
      <alignment horizontal="center" vertical="center" shrinkToFit="1"/>
      <protection locked="0"/>
    </xf>
    <xf numFmtId="0" fontId="3" fillId="33" borderId="66" xfId="0" applyFont="1" applyFill="1" applyBorder="1" applyAlignment="1" applyProtection="1">
      <alignment horizontal="center" vertical="center" shrinkToFit="1"/>
      <protection locked="0"/>
    </xf>
    <xf numFmtId="14" fontId="3" fillId="33" borderId="66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6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3" fillId="33" borderId="68" xfId="0" applyFont="1" applyFill="1" applyBorder="1" applyAlignment="1" applyProtection="1">
      <alignment horizontal="center" vertical="center" shrinkToFit="1"/>
      <protection locked="0"/>
    </xf>
    <xf numFmtId="0" fontId="3" fillId="33" borderId="69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 applyProtection="1">
      <alignment vertical="center" shrinkToFit="1"/>
      <protection/>
    </xf>
    <xf numFmtId="0" fontId="3" fillId="0" borderId="71" xfId="0" applyFont="1" applyBorder="1" applyAlignment="1" applyProtection="1">
      <alignment horizontal="center" vertical="center" shrinkToFit="1"/>
      <protection/>
    </xf>
    <xf numFmtId="184" fontId="3" fillId="0" borderId="66" xfId="0" applyNumberFormat="1" applyFont="1" applyBorder="1" applyAlignment="1" applyProtection="1">
      <alignment vertical="center" shrinkToFit="1"/>
      <protection/>
    </xf>
    <xf numFmtId="184" fontId="3" fillId="0" borderId="71" xfId="0" applyNumberFormat="1" applyFont="1" applyBorder="1" applyAlignment="1" applyProtection="1">
      <alignment horizontal="center" vertical="center" shrinkToFit="1"/>
      <protection/>
    </xf>
    <xf numFmtId="176" fontId="3" fillId="0" borderId="71" xfId="0" applyNumberFormat="1" applyFont="1" applyBorder="1" applyAlignment="1" applyProtection="1">
      <alignment vertical="center" shrinkToFit="1"/>
      <protection/>
    </xf>
    <xf numFmtId="179" fontId="3" fillId="0" borderId="66" xfId="0" applyNumberFormat="1" applyFont="1" applyBorder="1" applyAlignment="1" applyProtection="1">
      <alignment vertical="center" shrinkToFit="1"/>
      <protection/>
    </xf>
    <xf numFmtId="0" fontId="3" fillId="0" borderId="71" xfId="0" applyFont="1" applyBorder="1" applyAlignment="1" applyProtection="1">
      <alignment vertical="center" shrinkToFit="1"/>
      <protection/>
    </xf>
    <xf numFmtId="176" fontId="3" fillId="0" borderId="66" xfId="0" applyNumberFormat="1" applyFont="1" applyBorder="1" applyAlignment="1" applyProtection="1">
      <alignment vertical="center" shrinkToFit="1"/>
      <protection/>
    </xf>
    <xf numFmtId="0" fontId="3" fillId="0" borderId="69" xfId="0" applyFont="1" applyBorder="1" applyAlignment="1" applyProtection="1">
      <alignment vertical="center" shrinkToFit="1"/>
      <protection/>
    </xf>
    <xf numFmtId="0" fontId="3" fillId="33" borderId="71" xfId="0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186" fontId="3" fillId="0" borderId="0" xfId="0" applyNumberFormat="1" applyFont="1" applyAlignment="1" applyProtection="1">
      <alignment vertical="center" shrinkToFit="1"/>
      <protection locked="0"/>
    </xf>
    <xf numFmtId="202" fontId="3" fillId="0" borderId="71" xfId="0" applyNumberFormat="1" applyFont="1" applyBorder="1" applyAlignment="1" applyProtection="1">
      <alignment vertical="center" shrinkToFit="1"/>
      <protection/>
    </xf>
    <xf numFmtId="0" fontId="3" fillId="34" borderId="65" xfId="0" applyFont="1" applyFill="1" applyBorder="1" applyAlignment="1" applyProtection="1">
      <alignment horizontal="center" vertical="center" shrinkToFit="1"/>
      <protection locked="0"/>
    </xf>
    <xf numFmtId="0" fontId="3" fillId="34" borderId="68" xfId="0" applyFont="1" applyFill="1" applyBorder="1" applyAlignment="1" applyProtection="1">
      <alignment horizontal="center" vertical="center" shrinkToFit="1"/>
      <protection locked="0"/>
    </xf>
    <xf numFmtId="0" fontId="3" fillId="34" borderId="71" xfId="0" applyFont="1" applyFill="1" applyBorder="1" applyAlignment="1" applyProtection="1">
      <alignment horizontal="center" vertical="center" shrinkToFit="1"/>
      <protection locked="0"/>
    </xf>
    <xf numFmtId="14" fontId="3" fillId="34" borderId="66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67" xfId="0" applyFont="1" applyFill="1" applyBorder="1" applyAlignment="1" applyProtection="1">
      <alignment horizontal="center" vertical="center" shrinkToFit="1"/>
      <protection locked="0"/>
    </xf>
    <xf numFmtId="0" fontId="3" fillId="34" borderId="70" xfId="0" applyFont="1" applyFill="1" applyBorder="1" applyAlignment="1" applyProtection="1">
      <alignment vertical="center" shrinkToFit="1"/>
      <protection/>
    </xf>
    <xf numFmtId="0" fontId="3" fillId="34" borderId="71" xfId="0" applyFont="1" applyFill="1" applyBorder="1" applyAlignment="1" applyProtection="1">
      <alignment horizontal="center" vertical="center" shrinkToFit="1"/>
      <protection/>
    </xf>
    <xf numFmtId="184" fontId="3" fillId="34" borderId="66" xfId="0" applyNumberFormat="1" applyFont="1" applyFill="1" applyBorder="1" applyAlignment="1" applyProtection="1">
      <alignment vertical="center" shrinkToFit="1"/>
      <protection/>
    </xf>
    <xf numFmtId="184" fontId="3" fillId="34" borderId="71" xfId="0" applyNumberFormat="1" applyFont="1" applyFill="1" applyBorder="1" applyAlignment="1" applyProtection="1">
      <alignment horizontal="center" vertical="center" shrinkToFit="1"/>
      <protection/>
    </xf>
    <xf numFmtId="176" fontId="3" fillId="34" borderId="71" xfId="0" applyNumberFormat="1" applyFont="1" applyFill="1" applyBorder="1" applyAlignment="1" applyProtection="1">
      <alignment vertical="center" shrinkToFit="1"/>
      <protection/>
    </xf>
    <xf numFmtId="0" fontId="3" fillId="34" borderId="71" xfId="0" applyFont="1" applyFill="1" applyBorder="1" applyAlignment="1" applyProtection="1">
      <alignment vertical="center" shrinkToFit="1"/>
      <protection/>
    </xf>
    <xf numFmtId="0" fontId="3" fillId="34" borderId="0" xfId="0" applyFont="1" applyFill="1" applyAlignment="1" applyProtection="1">
      <alignment vertical="center" shrinkToFit="1"/>
      <protection locked="0"/>
    </xf>
    <xf numFmtId="0" fontId="3" fillId="34" borderId="0" xfId="0" applyFont="1" applyFill="1" applyAlignment="1">
      <alignment vertical="center" shrinkToFit="1"/>
    </xf>
    <xf numFmtId="202" fontId="3" fillId="34" borderId="71" xfId="0" applyNumberFormat="1" applyFont="1" applyFill="1" applyBorder="1" applyAlignment="1" applyProtection="1">
      <alignment vertical="center" shrinkToFit="1"/>
      <protection/>
    </xf>
    <xf numFmtId="206" fontId="3" fillId="34" borderId="66" xfId="0" applyNumberFormat="1" applyFont="1" applyFill="1" applyBorder="1" applyAlignment="1" applyProtection="1">
      <alignment vertical="center" shrinkToFit="1"/>
      <protection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vertical="center" wrapText="1"/>
    </xf>
    <xf numFmtId="0" fontId="3" fillId="0" borderId="76" xfId="0" applyFont="1" applyBorder="1" applyAlignment="1" applyProtection="1">
      <alignment vertical="center" shrinkToFit="1"/>
      <protection/>
    </xf>
    <xf numFmtId="0" fontId="3" fillId="0" borderId="66" xfId="0" applyFont="1" applyBorder="1" applyAlignment="1" applyProtection="1">
      <alignment horizontal="center" vertical="center" shrinkToFit="1"/>
      <protection/>
    </xf>
    <xf numFmtId="202" fontId="3" fillId="0" borderId="66" xfId="0" applyNumberFormat="1" applyFont="1" applyBorder="1" applyAlignment="1" applyProtection="1">
      <alignment vertical="center" shrinkToFit="1"/>
      <protection/>
    </xf>
    <xf numFmtId="184" fontId="3" fillId="0" borderId="66" xfId="0" applyNumberFormat="1" applyFont="1" applyBorder="1" applyAlignment="1" applyProtection="1">
      <alignment horizontal="center" vertical="center" shrinkToFit="1"/>
      <protection/>
    </xf>
    <xf numFmtId="0" fontId="3" fillId="0" borderId="66" xfId="0" applyFont="1" applyBorder="1" applyAlignment="1" applyProtection="1">
      <alignment vertical="center" shrinkToFit="1"/>
      <protection/>
    </xf>
    <xf numFmtId="0" fontId="3" fillId="0" borderId="67" xfId="0" applyFont="1" applyBorder="1" applyAlignment="1" applyProtection="1">
      <alignment vertical="center" shrinkToFit="1"/>
      <protection/>
    </xf>
    <xf numFmtId="0" fontId="3" fillId="33" borderId="77" xfId="0" applyFont="1" applyFill="1" applyBorder="1" applyAlignment="1" applyProtection="1">
      <alignment horizontal="center" vertical="center" shrinkToFit="1"/>
      <protection locked="0"/>
    </xf>
    <xf numFmtId="0" fontId="3" fillId="33" borderId="78" xfId="0" applyFont="1" applyFill="1" applyBorder="1" applyAlignment="1" applyProtection="1">
      <alignment horizontal="center" vertical="center" shrinkToFit="1"/>
      <protection locked="0"/>
    </xf>
    <xf numFmtId="0" fontId="3" fillId="33" borderId="79" xfId="0" applyFont="1" applyFill="1" applyBorder="1" applyAlignment="1" applyProtection="1">
      <alignment horizontal="center" vertical="center" shrinkToFit="1"/>
      <protection locked="0"/>
    </xf>
    <xf numFmtId="14" fontId="3" fillId="33" borderId="7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80" xfId="0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vertical="center" shrinkToFit="1"/>
      <protection/>
    </xf>
    <xf numFmtId="0" fontId="3" fillId="0" borderId="82" xfId="0" applyFont="1" applyBorder="1" applyAlignment="1" applyProtection="1">
      <alignment horizontal="center" vertical="center" shrinkToFit="1"/>
      <protection/>
    </xf>
    <xf numFmtId="202" fontId="3" fillId="0" borderId="83" xfId="0" applyNumberFormat="1" applyFont="1" applyBorder="1" applyAlignment="1" applyProtection="1">
      <alignment vertical="center" shrinkToFit="1"/>
      <protection/>
    </xf>
    <xf numFmtId="184" fontId="3" fillId="0" borderId="79" xfId="0" applyNumberFormat="1" applyFont="1" applyBorder="1" applyAlignment="1" applyProtection="1">
      <alignment vertical="center" shrinkToFit="1"/>
      <protection/>
    </xf>
    <xf numFmtId="184" fontId="3" fillId="0" borderId="83" xfId="0" applyNumberFormat="1" applyFont="1" applyBorder="1" applyAlignment="1" applyProtection="1">
      <alignment horizontal="center" vertical="center" shrinkToFit="1"/>
      <protection/>
    </xf>
    <xf numFmtId="176" fontId="3" fillId="0" borderId="83" xfId="0" applyNumberFormat="1" applyFont="1" applyBorder="1" applyAlignment="1" applyProtection="1">
      <alignment vertical="center" shrinkToFit="1"/>
      <protection/>
    </xf>
    <xf numFmtId="179" fontId="3" fillId="0" borderId="79" xfId="0" applyNumberFormat="1" applyFont="1" applyBorder="1" applyAlignment="1" applyProtection="1">
      <alignment vertical="center" shrinkToFit="1"/>
      <protection/>
    </xf>
    <xf numFmtId="0" fontId="3" fillId="0" borderId="83" xfId="0" applyFont="1" applyBorder="1" applyAlignment="1" applyProtection="1">
      <alignment vertical="center" shrinkToFit="1"/>
      <protection/>
    </xf>
    <xf numFmtId="0" fontId="3" fillId="33" borderId="84" xfId="0" applyFont="1" applyFill="1" applyBorder="1" applyAlignment="1" applyProtection="1">
      <alignment horizontal="center" vertical="center" shrinkToFit="1"/>
      <protection locked="0"/>
    </xf>
    <xf numFmtId="0" fontId="3" fillId="34" borderId="84" xfId="0" applyFont="1" applyFill="1" applyBorder="1" applyAlignment="1" applyProtection="1">
      <alignment horizontal="center" vertical="center" shrinkToFit="1"/>
      <protection locked="0"/>
    </xf>
    <xf numFmtId="0" fontId="3" fillId="33" borderId="85" xfId="0" applyFont="1" applyFill="1" applyBorder="1" applyAlignment="1" applyProtection="1">
      <alignment horizontal="center" vertical="center" shrinkToFit="1"/>
      <protection locked="0"/>
    </xf>
    <xf numFmtId="0" fontId="3" fillId="33" borderId="86" xfId="0" applyFont="1" applyFill="1" applyBorder="1" applyAlignment="1" applyProtection="1">
      <alignment horizontal="center" vertical="center" shrinkToFit="1"/>
      <protection locked="0"/>
    </xf>
    <xf numFmtId="0" fontId="3" fillId="33" borderId="87" xfId="0" applyFont="1" applyFill="1" applyBorder="1" applyAlignment="1" applyProtection="1">
      <alignment horizontal="center" vertical="center" shrinkToFit="1"/>
      <protection locked="0"/>
    </xf>
    <xf numFmtId="0" fontId="3" fillId="33" borderId="88" xfId="0" applyFont="1" applyFill="1" applyBorder="1" applyAlignment="1" applyProtection="1">
      <alignment horizontal="center" vertical="center" shrinkToFit="1"/>
      <protection locked="0"/>
    </xf>
    <xf numFmtId="14" fontId="3" fillId="33" borderId="8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90" xfId="0" applyFont="1" applyFill="1" applyBorder="1" applyAlignment="1" applyProtection="1">
      <alignment horizontal="center" vertical="center" shrinkToFit="1"/>
      <protection locked="0"/>
    </xf>
    <xf numFmtId="0" fontId="3" fillId="0" borderId="91" xfId="0" applyFont="1" applyBorder="1" applyAlignment="1" applyProtection="1">
      <alignment vertical="center" shrinkToFit="1"/>
      <protection/>
    </xf>
    <xf numFmtId="0" fontId="3" fillId="0" borderId="88" xfId="0" applyFont="1" applyBorder="1" applyAlignment="1" applyProtection="1">
      <alignment horizontal="center" vertical="center" shrinkToFit="1"/>
      <protection/>
    </xf>
    <xf numFmtId="202" fontId="3" fillId="0" borderId="88" xfId="0" applyNumberFormat="1" applyFont="1" applyBorder="1" applyAlignment="1" applyProtection="1">
      <alignment vertical="center" shrinkToFit="1"/>
      <protection/>
    </xf>
    <xf numFmtId="184" fontId="3" fillId="0" borderId="89" xfId="0" applyNumberFormat="1" applyFont="1" applyBorder="1" applyAlignment="1" applyProtection="1">
      <alignment vertical="center" shrinkToFit="1"/>
      <protection/>
    </xf>
    <xf numFmtId="184" fontId="3" fillId="0" borderId="88" xfId="0" applyNumberFormat="1" applyFont="1" applyBorder="1" applyAlignment="1" applyProtection="1">
      <alignment horizontal="center" vertical="center" shrinkToFit="1"/>
      <protection/>
    </xf>
    <xf numFmtId="176" fontId="3" fillId="0" borderId="88" xfId="0" applyNumberFormat="1" applyFont="1" applyBorder="1" applyAlignment="1" applyProtection="1">
      <alignment vertical="center" shrinkToFit="1"/>
      <protection/>
    </xf>
    <xf numFmtId="179" fontId="3" fillId="0" borderId="89" xfId="0" applyNumberFormat="1" applyFont="1" applyBorder="1" applyAlignment="1" applyProtection="1">
      <alignment vertical="center" shrinkToFit="1"/>
      <protection/>
    </xf>
    <xf numFmtId="0" fontId="3" fillId="0" borderId="88" xfId="0" applyFont="1" applyBorder="1" applyAlignment="1" applyProtection="1">
      <alignment vertical="center" shrinkToFit="1"/>
      <protection/>
    </xf>
    <xf numFmtId="176" fontId="3" fillId="0" borderId="92" xfId="0" applyNumberFormat="1" applyFont="1" applyBorder="1" applyAlignment="1" applyProtection="1">
      <alignment vertical="center" shrinkToFit="1"/>
      <protection/>
    </xf>
    <xf numFmtId="176" fontId="3" fillId="0" borderId="93" xfId="0" applyNumberFormat="1" applyFont="1" applyBorder="1" applyAlignment="1" applyProtection="1">
      <alignment vertical="center" shrinkToFit="1"/>
      <protection/>
    </xf>
    <xf numFmtId="176" fontId="3" fillId="34" borderId="93" xfId="0" applyNumberFormat="1" applyFont="1" applyFill="1" applyBorder="1" applyAlignment="1" applyProtection="1">
      <alignment vertical="center" shrinkToFit="1"/>
      <protection/>
    </xf>
    <xf numFmtId="176" fontId="3" fillId="0" borderId="94" xfId="0" applyNumberFormat="1" applyFont="1" applyBorder="1" applyAlignment="1" applyProtection="1">
      <alignment vertical="center" shrinkToFit="1"/>
      <protection/>
    </xf>
    <xf numFmtId="0" fontId="3" fillId="0" borderId="95" xfId="0" applyFont="1" applyBorder="1" applyAlignment="1" applyProtection="1">
      <alignment vertical="center" shrinkToFit="1"/>
      <protection/>
    </xf>
    <xf numFmtId="0" fontId="3" fillId="0" borderId="96" xfId="0" applyFont="1" applyBorder="1" applyAlignment="1" applyProtection="1">
      <alignment vertical="center" shrinkToFit="1"/>
      <protection/>
    </xf>
    <xf numFmtId="0" fontId="3" fillId="34" borderId="96" xfId="0" applyFont="1" applyFill="1" applyBorder="1" applyAlignment="1" applyProtection="1">
      <alignment vertical="center" shrinkToFit="1"/>
      <protection/>
    </xf>
    <xf numFmtId="0" fontId="3" fillId="0" borderId="97" xfId="0" applyFont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horizontal="left" vertical="center"/>
      <protection locked="0"/>
    </xf>
    <xf numFmtId="179" fontId="3" fillId="34" borderId="66" xfId="0" applyNumberFormat="1" applyFont="1" applyFill="1" applyBorder="1" applyAlignment="1" applyProtection="1">
      <alignment vertical="center" shrinkToFit="1"/>
      <protection/>
    </xf>
    <xf numFmtId="0" fontId="7" fillId="0" borderId="19" xfId="0" applyFont="1" applyBorder="1" applyAlignment="1">
      <alignment horizontal="center" vertical="center" shrinkToFit="1"/>
    </xf>
    <xf numFmtId="38" fontId="6" fillId="0" borderId="23" xfId="49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vertical="center"/>
    </xf>
    <xf numFmtId="0" fontId="6" fillId="0" borderId="100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1" fontId="6" fillId="0" borderId="99" xfId="0" applyNumberFormat="1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6" fillId="0" borderId="98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0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1" fontId="6" fillId="0" borderId="19" xfId="0" applyNumberFormat="1" applyFont="1" applyBorder="1" applyAlignment="1">
      <alignment horizontal="right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 quotePrefix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shrinkToFit="1"/>
      <protection/>
    </xf>
    <xf numFmtId="0" fontId="15" fillId="0" borderId="46" xfId="0" applyFont="1" applyBorder="1" applyAlignment="1" applyProtection="1">
      <alignment horizontal="center" vertical="center" shrinkToFit="1"/>
      <protection/>
    </xf>
    <xf numFmtId="0" fontId="15" fillId="0" borderId="47" xfId="0" applyFont="1" applyBorder="1" applyAlignment="1" applyProtection="1">
      <alignment horizontal="center" vertical="center" shrinkToFit="1"/>
      <protection/>
    </xf>
    <xf numFmtId="0" fontId="15" fillId="0" borderId="48" xfId="0" applyFont="1" applyBorder="1" applyAlignment="1" applyProtection="1">
      <alignment horizontal="center" vertical="center" shrinkToFit="1"/>
      <protection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 applyProtection="1">
      <alignment horizontal="center" vertical="center" shrinkToFit="1"/>
      <protection/>
    </xf>
    <xf numFmtId="0" fontId="15" fillId="0" borderId="52" xfId="0" applyFont="1" applyBorder="1" applyAlignment="1" applyProtection="1">
      <alignment horizontal="center" vertical="center" shrinkToFit="1"/>
      <protection/>
    </xf>
    <xf numFmtId="0" fontId="15" fillId="0" borderId="53" xfId="0" applyFont="1" applyBorder="1" applyAlignment="1" applyProtection="1">
      <alignment horizontal="center" vertical="center" shrinkToFit="1"/>
      <protection/>
    </xf>
    <xf numFmtId="0" fontId="15" fillId="0" borderId="54" xfId="0" applyFont="1" applyBorder="1" applyAlignment="1" applyProtection="1">
      <alignment horizontal="center" vertical="center" shrinkToFit="1"/>
      <protection/>
    </xf>
    <xf numFmtId="0" fontId="62" fillId="0" borderId="0" xfId="0" applyFont="1" applyAlignment="1" applyProtection="1">
      <alignment vertical="center"/>
      <protection locked="0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0" xfId="0" applyFont="1" applyBorder="1" applyAlignment="1" quotePrefix="1">
      <alignment horizontal="center" vertical="center" shrinkToFit="1"/>
    </xf>
    <xf numFmtId="0" fontId="15" fillId="0" borderId="57" xfId="0" applyFont="1" applyBorder="1" applyAlignment="1" quotePrefix="1">
      <alignment vertical="center" shrinkToFit="1"/>
    </xf>
    <xf numFmtId="0" fontId="15" fillId="0" borderId="58" xfId="0" applyFont="1" applyBorder="1" applyAlignment="1" applyProtection="1">
      <alignment horizontal="center" vertical="center" shrinkToFit="1"/>
      <protection/>
    </xf>
    <xf numFmtId="0" fontId="15" fillId="0" borderId="59" xfId="0" applyFont="1" applyBorder="1" applyAlignment="1" applyProtection="1">
      <alignment horizontal="center" vertical="center" shrinkToFit="1"/>
      <protection/>
    </xf>
    <xf numFmtId="0" fontId="15" fillId="0" borderId="60" xfId="0" applyFont="1" applyBorder="1" applyAlignment="1" applyProtection="1">
      <alignment horizontal="center" vertical="center" shrinkToFit="1"/>
      <protection/>
    </xf>
    <xf numFmtId="0" fontId="15" fillId="0" borderId="61" xfId="0" applyFont="1" applyBorder="1" applyAlignment="1" applyProtection="1">
      <alignment horizontal="center" vertical="center" shrinkToFit="1"/>
      <protection/>
    </xf>
    <xf numFmtId="0" fontId="15" fillId="0" borderId="62" xfId="0" applyFont="1" applyBorder="1" applyAlignment="1" applyProtection="1">
      <alignment horizontal="center" vertical="center" shrinkToFit="1"/>
      <protection/>
    </xf>
    <xf numFmtId="0" fontId="15" fillId="0" borderId="63" xfId="0" applyFont="1" applyBorder="1" applyAlignment="1" applyProtection="1">
      <alignment horizontal="center" vertical="center" shrinkToFit="1"/>
      <protection/>
    </xf>
    <xf numFmtId="0" fontId="15" fillId="0" borderId="64" xfId="0" applyFont="1" applyBorder="1" applyAlignment="1" applyProtection="1">
      <alignment horizontal="center" vertical="center" shrinkToFit="1"/>
      <protection/>
    </xf>
    <xf numFmtId="0" fontId="15" fillId="0" borderId="31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quotePrefix="1">
      <alignment vertical="center" shrinkToFit="1"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14" fillId="0" borderId="37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shrinkToFit="1"/>
    </xf>
    <xf numFmtId="0" fontId="3" fillId="0" borderId="104" xfId="0" applyFont="1" applyBorder="1" applyAlignment="1">
      <alignment vertical="center" wrapText="1"/>
    </xf>
    <xf numFmtId="0" fontId="15" fillId="33" borderId="76" xfId="0" applyFont="1" applyFill="1" applyBorder="1" applyAlignment="1" applyProtection="1">
      <alignment horizontal="center" vertical="center" shrinkToFit="1"/>
      <protection locked="0"/>
    </xf>
    <xf numFmtId="0" fontId="15" fillId="33" borderId="65" xfId="0" applyFont="1" applyFill="1" applyBorder="1" applyAlignment="1" applyProtection="1">
      <alignment horizontal="center" vertical="center" shrinkToFit="1"/>
      <protection locked="0"/>
    </xf>
    <xf numFmtId="0" fontId="15" fillId="33" borderId="66" xfId="0" applyFont="1" applyFill="1" applyBorder="1" applyAlignment="1" applyProtection="1">
      <alignment horizontal="center" vertical="center" shrinkToFit="1"/>
      <protection locked="0"/>
    </xf>
    <xf numFmtId="14" fontId="15" fillId="33" borderId="66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67" xfId="0" applyFont="1" applyFill="1" applyBorder="1" applyAlignment="1" applyProtection="1">
      <alignment horizontal="center" vertical="center" shrinkToFit="1"/>
      <protection locked="0"/>
    </xf>
    <xf numFmtId="0" fontId="15" fillId="0" borderId="105" xfId="0" applyFont="1" applyBorder="1" applyAlignment="1" applyProtection="1">
      <alignment vertical="center" shrinkToFit="1"/>
      <protection/>
    </xf>
    <xf numFmtId="0" fontId="15" fillId="0" borderId="106" xfId="0" applyFont="1" applyBorder="1" applyAlignment="1" applyProtection="1">
      <alignment horizontal="center" vertical="center" shrinkToFit="1"/>
      <protection/>
    </xf>
    <xf numFmtId="184" fontId="15" fillId="0" borderId="107" xfId="0" applyNumberFormat="1" applyFont="1" applyBorder="1" applyAlignment="1" applyProtection="1">
      <alignment vertical="center" shrinkToFit="1"/>
      <protection/>
    </xf>
    <xf numFmtId="184" fontId="15" fillId="0" borderId="66" xfId="0" applyNumberFormat="1" applyFont="1" applyBorder="1" applyAlignment="1" applyProtection="1">
      <alignment vertical="center" shrinkToFit="1"/>
      <protection/>
    </xf>
    <xf numFmtId="184" fontId="15" fillId="0" borderId="107" xfId="0" applyNumberFormat="1" applyFont="1" applyBorder="1" applyAlignment="1" applyProtection="1">
      <alignment horizontal="center" vertical="center" shrinkToFit="1"/>
      <protection/>
    </xf>
    <xf numFmtId="176" fontId="15" fillId="0" borderId="107" xfId="0" applyNumberFormat="1" applyFont="1" applyBorder="1" applyAlignment="1" applyProtection="1">
      <alignment vertical="center" shrinkToFit="1"/>
      <protection/>
    </xf>
    <xf numFmtId="179" fontId="15" fillId="0" borderId="66" xfId="0" applyNumberFormat="1" applyFont="1" applyBorder="1" applyAlignment="1" applyProtection="1">
      <alignment vertical="center" shrinkToFit="1"/>
      <protection/>
    </xf>
    <xf numFmtId="0" fontId="15" fillId="0" borderId="107" xfId="0" applyFont="1" applyBorder="1" applyAlignment="1" applyProtection="1">
      <alignment vertical="center" shrinkToFit="1"/>
      <protection/>
    </xf>
    <xf numFmtId="176" fontId="15" fillId="0" borderId="66" xfId="0" applyNumberFormat="1" applyFont="1" applyBorder="1" applyAlignment="1" applyProtection="1">
      <alignment vertical="center" shrinkToFit="1"/>
      <protection/>
    </xf>
    <xf numFmtId="0" fontId="15" fillId="0" borderId="108" xfId="0" applyFont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>
      <alignment vertical="center" shrinkToFit="1"/>
    </xf>
    <xf numFmtId="0" fontId="15" fillId="33" borderId="68" xfId="0" applyFont="1" applyFill="1" applyBorder="1" applyAlignment="1" applyProtection="1">
      <alignment horizontal="center" vertical="center" shrinkToFit="1"/>
      <protection locked="0"/>
    </xf>
    <xf numFmtId="0" fontId="15" fillId="33" borderId="69" xfId="0" applyFont="1" applyFill="1" applyBorder="1" applyAlignment="1" applyProtection="1">
      <alignment horizontal="center" vertical="center" shrinkToFit="1"/>
      <protection locked="0"/>
    </xf>
    <xf numFmtId="0" fontId="15" fillId="0" borderId="70" xfId="0" applyFont="1" applyBorder="1" applyAlignment="1" applyProtection="1">
      <alignment vertical="center" shrinkToFit="1"/>
      <protection/>
    </xf>
    <xf numFmtId="0" fontId="15" fillId="0" borderId="71" xfId="0" applyFont="1" applyBorder="1" applyAlignment="1" applyProtection="1">
      <alignment horizontal="center" vertical="center" shrinkToFit="1"/>
      <protection/>
    </xf>
    <xf numFmtId="184" fontId="15" fillId="0" borderId="71" xfId="0" applyNumberFormat="1" applyFont="1" applyBorder="1" applyAlignment="1" applyProtection="1">
      <alignment vertical="center" shrinkToFit="1"/>
      <protection/>
    </xf>
    <xf numFmtId="184" fontId="15" fillId="0" borderId="71" xfId="0" applyNumberFormat="1" applyFont="1" applyBorder="1" applyAlignment="1" applyProtection="1">
      <alignment horizontal="center" vertical="center" shrinkToFit="1"/>
      <protection/>
    </xf>
    <xf numFmtId="176" fontId="15" fillId="0" borderId="71" xfId="0" applyNumberFormat="1" applyFont="1" applyBorder="1" applyAlignment="1" applyProtection="1">
      <alignment vertical="center" shrinkToFit="1"/>
      <protection/>
    </xf>
    <xf numFmtId="0" fontId="15" fillId="0" borderId="71" xfId="0" applyFont="1" applyBorder="1" applyAlignment="1" applyProtection="1">
      <alignment vertical="center" shrinkToFit="1"/>
      <protection/>
    </xf>
    <xf numFmtId="0" fontId="15" fillId="0" borderId="69" xfId="0" applyFont="1" applyBorder="1" applyAlignment="1" applyProtection="1">
      <alignment vertical="center" shrinkToFit="1"/>
      <protection/>
    </xf>
    <xf numFmtId="0" fontId="15" fillId="33" borderId="71" xfId="0" applyFont="1" applyFill="1" applyBorder="1" applyAlignment="1" applyProtection="1">
      <alignment horizontal="center" vertical="center" shrinkToFit="1"/>
      <protection locked="0"/>
    </xf>
    <xf numFmtId="0" fontId="15" fillId="33" borderId="70" xfId="0" applyFont="1" applyFill="1" applyBorder="1" applyAlignment="1" applyProtection="1">
      <alignment horizontal="center" vertical="center" shrinkToFit="1"/>
      <protection locked="0"/>
    </xf>
    <xf numFmtId="0" fontId="15" fillId="33" borderId="109" xfId="0" applyFont="1" applyFill="1" applyBorder="1" applyAlignment="1" applyProtection="1">
      <alignment horizontal="center" vertical="center" shrinkToFit="1"/>
      <protection locked="0"/>
    </xf>
    <xf numFmtId="0" fontId="15" fillId="33" borderId="110" xfId="0" applyFont="1" applyFill="1" applyBorder="1" applyAlignment="1" applyProtection="1">
      <alignment horizontal="center" vertical="center" shrinkToFit="1"/>
      <protection locked="0"/>
    </xf>
    <xf numFmtId="0" fontId="15" fillId="33" borderId="111" xfId="0" applyFont="1" applyFill="1" applyBorder="1" applyAlignment="1" applyProtection="1">
      <alignment horizontal="center" vertical="center" shrinkToFit="1"/>
      <protection locked="0"/>
    </xf>
    <xf numFmtId="0" fontId="15" fillId="33" borderId="112" xfId="0" applyFont="1" applyFill="1" applyBorder="1" applyAlignment="1" applyProtection="1">
      <alignment horizontal="center" vertical="center" shrinkToFit="1"/>
      <protection locked="0"/>
    </xf>
    <xf numFmtId="14" fontId="15" fillId="33" borderId="112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113" xfId="0" applyFont="1" applyFill="1" applyBorder="1" applyAlignment="1" applyProtection="1">
      <alignment horizontal="center" vertical="center" shrinkToFit="1"/>
      <protection locked="0"/>
    </xf>
    <xf numFmtId="0" fontId="15" fillId="0" borderId="109" xfId="0" applyFont="1" applyBorder="1" applyAlignment="1" applyProtection="1">
      <alignment vertical="center" shrinkToFit="1"/>
      <protection/>
    </xf>
    <xf numFmtId="0" fontId="15" fillId="0" borderId="114" xfId="0" applyFont="1" applyBorder="1" applyAlignment="1" applyProtection="1">
      <alignment horizontal="center" vertical="center" shrinkToFit="1"/>
      <protection/>
    </xf>
    <xf numFmtId="184" fontId="15" fillId="0" borderId="114" xfId="0" applyNumberFormat="1" applyFont="1" applyBorder="1" applyAlignment="1" applyProtection="1">
      <alignment vertical="center" shrinkToFit="1"/>
      <protection/>
    </xf>
    <xf numFmtId="184" fontId="15" fillId="0" borderId="112" xfId="0" applyNumberFormat="1" applyFont="1" applyBorder="1" applyAlignment="1" applyProtection="1">
      <alignment vertical="center" shrinkToFit="1"/>
      <protection/>
    </xf>
    <xf numFmtId="184" fontId="15" fillId="0" borderId="114" xfId="0" applyNumberFormat="1" applyFont="1" applyBorder="1" applyAlignment="1" applyProtection="1">
      <alignment horizontal="center" vertical="center" shrinkToFit="1"/>
      <protection/>
    </xf>
    <xf numFmtId="176" fontId="15" fillId="0" borderId="114" xfId="0" applyNumberFormat="1" applyFont="1" applyBorder="1" applyAlignment="1" applyProtection="1">
      <alignment vertical="center" shrinkToFit="1"/>
      <protection/>
    </xf>
    <xf numFmtId="179" fontId="15" fillId="0" borderId="112" xfId="0" applyNumberFormat="1" applyFont="1" applyBorder="1" applyAlignment="1" applyProtection="1">
      <alignment vertical="center" shrinkToFit="1"/>
      <protection/>
    </xf>
    <xf numFmtId="0" fontId="15" fillId="0" borderId="114" xfId="0" applyFont="1" applyBorder="1" applyAlignment="1" applyProtection="1">
      <alignment vertical="center" shrinkToFit="1"/>
      <protection/>
    </xf>
    <xf numFmtId="176" fontId="15" fillId="0" borderId="112" xfId="0" applyNumberFormat="1" applyFont="1" applyBorder="1" applyAlignment="1" applyProtection="1">
      <alignment vertical="center" shrinkToFit="1"/>
      <protection/>
    </xf>
    <xf numFmtId="0" fontId="15" fillId="0" borderId="115" xfId="0" applyFont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horizontal="center" vertical="center" shrinkToFit="1"/>
      <protection locked="0"/>
    </xf>
    <xf numFmtId="0" fontId="10" fillId="33" borderId="37" xfId="0" applyFont="1" applyFill="1" applyBorder="1" applyAlignment="1" applyProtection="1">
      <alignment horizontal="center" vertical="center"/>
      <protection locked="0"/>
    </xf>
    <xf numFmtId="0" fontId="3" fillId="0" borderId="116" xfId="0" applyFont="1" applyBorder="1" applyAlignment="1" quotePrefix="1">
      <alignment horizontal="center" vertical="center" shrinkToFit="1"/>
    </xf>
    <xf numFmtId="0" fontId="3" fillId="0" borderId="57" xfId="0" applyFont="1" applyBorder="1" applyAlignment="1" quotePrefix="1">
      <alignment horizontal="center" vertical="center" shrinkToFit="1"/>
    </xf>
    <xf numFmtId="0" fontId="3" fillId="0" borderId="117" xfId="0" applyFont="1" applyBorder="1" applyAlignment="1" quotePrefix="1">
      <alignment horizontal="center" vertical="center" shrinkToFit="1"/>
    </xf>
    <xf numFmtId="0" fontId="3" fillId="0" borderId="42" xfId="0" applyFont="1" applyBorder="1" applyAlignment="1" quotePrefix="1">
      <alignment horizontal="center" vertical="center" shrinkToFit="1"/>
    </xf>
    <xf numFmtId="0" fontId="3" fillId="0" borderId="111" xfId="0" applyFont="1" applyBorder="1" applyAlignment="1" quotePrefix="1">
      <alignment horizontal="center" vertical="center" shrinkToFit="1"/>
    </xf>
    <xf numFmtId="0" fontId="3" fillId="0" borderId="118" xfId="0" applyFont="1" applyBorder="1" applyAlignment="1" quotePrefix="1">
      <alignment horizontal="center" vertical="center" shrinkToFit="1"/>
    </xf>
    <xf numFmtId="0" fontId="3" fillId="0" borderId="36" xfId="0" applyFont="1" applyBorder="1" applyAlignment="1" quotePrefix="1">
      <alignment horizontal="center" vertical="center" shrinkToFit="1"/>
    </xf>
    <xf numFmtId="0" fontId="3" fillId="0" borderId="119" xfId="0" applyFont="1" applyBorder="1" applyAlignment="1" quotePrefix="1">
      <alignment horizontal="center" vertical="center" shrinkToFit="1"/>
    </xf>
    <xf numFmtId="0" fontId="3" fillId="0" borderId="50" xfId="0" applyFont="1" applyBorder="1" applyAlignment="1" quotePrefix="1">
      <alignment horizontal="center" vertical="center" shrinkToFit="1"/>
    </xf>
    <xf numFmtId="0" fontId="3" fillId="0" borderId="68" xfId="0" applyFont="1" applyBorder="1" applyAlignment="1" quotePrefix="1">
      <alignment horizontal="center" vertical="center" shrinkToFit="1"/>
    </xf>
    <xf numFmtId="0" fontId="3" fillId="0" borderId="1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 quotePrefix="1">
      <alignment horizontal="center" vertical="center" shrinkToFit="1"/>
    </xf>
    <xf numFmtId="0" fontId="3" fillId="0" borderId="44" xfId="0" applyFont="1" applyBorder="1" applyAlignment="1" quotePrefix="1">
      <alignment horizontal="center" vertical="center" shrinkToFit="1"/>
    </xf>
    <xf numFmtId="0" fontId="3" fillId="0" borderId="123" xfId="0" applyFont="1" applyBorder="1" applyAlignment="1" quotePrefix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 shrinkToFit="1"/>
    </xf>
    <xf numFmtId="0" fontId="15" fillId="0" borderId="116" xfId="0" applyFont="1" applyBorder="1" applyAlignment="1" quotePrefix="1">
      <alignment horizontal="center" vertical="center" shrinkToFit="1"/>
    </xf>
    <xf numFmtId="0" fontId="15" fillId="0" borderId="57" xfId="0" applyFont="1" applyBorder="1" applyAlignment="1" quotePrefix="1">
      <alignment horizontal="center" vertical="center" shrinkToFit="1"/>
    </xf>
    <xf numFmtId="0" fontId="15" fillId="0" borderId="117" xfId="0" applyFont="1" applyBorder="1" applyAlignment="1" quotePrefix="1">
      <alignment horizontal="center" vertical="center" shrinkToFit="1"/>
    </xf>
    <xf numFmtId="0" fontId="15" fillId="0" borderId="42" xfId="0" applyFont="1" applyBorder="1" applyAlignment="1" quotePrefix="1">
      <alignment horizontal="center" vertical="center" shrinkToFit="1"/>
    </xf>
    <xf numFmtId="0" fontId="15" fillId="0" borderId="111" xfId="0" applyFont="1" applyBorder="1" applyAlignment="1" quotePrefix="1">
      <alignment horizontal="center" vertical="center" shrinkToFit="1"/>
    </xf>
    <xf numFmtId="0" fontId="15" fillId="0" borderId="118" xfId="0" applyFont="1" applyBorder="1" applyAlignment="1" quotePrefix="1">
      <alignment horizontal="center" vertical="center" shrinkToFit="1"/>
    </xf>
    <xf numFmtId="0" fontId="15" fillId="0" borderId="36" xfId="0" applyFont="1" applyBorder="1" applyAlignment="1" quotePrefix="1">
      <alignment horizontal="center" vertical="center" shrinkToFit="1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15" fillId="0" borderId="119" xfId="0" applyFont="1" applyBorder="1" applyAlignment="1" quotePrefix="1">
      <alignment horizontal="center" vertical="center" shrinkToFit="1"/>
    </xf>
    <xf numFmtId="0" fontId="15" fillId="0" borderId="50" xfId="0" applyFont="1" applyBorder="1" applyAlignment="1" quotePrefix="1">
      <alignment horizontal="center" vertical="center" shrinkToFit="1"/>
    </xf>
    <xf numFmtId="0" fontId="15" fillId="0" borderId="68" xfId="0" applyFont="1" applyBorder="1" applyAlignment="1" quotePrefix="1">
      <alignment horizontal="center" vertical="center" shrinkToFit="1"/>
    </xf>
    <xf numFmtId="0" fontId="15" fillId="0" borderId="11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/>
    </xf>
    <xf numFmtId="0" fontId="15" fillId="0" borderId="122" xfId="0" applyFont="1" applyBorder="1" applyAlignment="1" quotePrefix="1">
      <alignment horizontal="center" vertical="center" shrinkToFit="1"/>
    </xf>
    <xf numFmtId="0" fontId="15" fillId="0" borderId="44" xfId="0" applyFont="1" applyBorder="1" applyAlignment="1" quotePrefix="1">
      <alignment horizontal="center" vertical="center" shrinkToFit="1"/>
    </xf>
    <xf numFmtId="0" fontId="15" fillId="0" borderId="123" xfId="0" applyFont="1" applyBorder="1" applyAlignment="1" quotePrefix="1">
      <alignment horizontal="center" vertical="center" shrinkToFit="1"/>
    </xf>
    <xf numFmtId="0" fontId="15" fillId="0" borderId="124" xfId="0" applyFont="1" applyBorder="1" applyAlignment="1">
      <alignment horizontal="center" vertical="center" shrinkToFit="1"/>
    </xf>
    <xf numFmtId="0" fontId="15" fillId="0" borderId="125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 shrinkToFit="1"/>
    </xf>
    <xf numFmtId="0" fontId="15" fillId="0" borderId="127" xfId="0" applyFont="1" applyBorder="1" applyAlignment="1">
      <alignment horizontal="center" vertical="center" shrinkToFit="1"/>
    </xf>
    <xf numFmtId="0" fontId="15" fillId="0" borderId="127" xfId="0" applyFont="1" applyBorder="1" applyAlignment="1">
      <alignment horizontal="center" vertical="center"/>
    </xf>
    <xf numFmtId="0" fontId="15" fillId="0" borderId="128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9525</xdr:rowOff>
    </xdr:from>
    <xdr:to>
      <xdr:col>20</xdr:col>
      <xdr:colOff>0</xdr:colOff>
      <xdr:row>38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9525" y="8372475"/>
          <a:ext cx="14906625" cy="5305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485775</xdr:colOff>
      <xdr:row>54</xdr:row>
      <xdr:rowOff>247650</xdr:rowOff>
    </xdr:from>
    <xdr:to>
      <xdr:col>15</xdr:col>
      <xdr:colOff>247650</xdr:colOff>
      <xdr:row>63</xdr:row>
      <xdr:rowOff>66675</xdr:rowOff>
    </xdr:to>
    <xdr:pic>
      <xdr:nvPicPr>
        <xdr:cNvPr id="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9411950"/>
          <a:ext cx="95821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7"/>
  <sheetViews>
    <sheetView showGridLines="0" view="pageBreakPreview" zoomScale="90" zoomScaleSheetLayoutView="90" workbookViewId="0" topLeftCell="B1">
      <selection activeCell="L9" sqref="L9"/>
    </sheetView>
  </sheetViews>
  <sheetFormatPr defaultColWidth="9.00390625" defaultRowHeight="13.5"/>
  <cols>
    <col min="1" max="1" width="9.00390625" style="2" customWidth="1"/>
    <col min="2" max="2" width="28.00390625" style="2" customWidth="1"/>
    <col min="3" max="15" width="11.25390625" style="2" customWidth="1"/>
    <col min="16" max="16384" width="9.00390625" style="2" customWidth="1"/>
  </cols>
  <sheetData>
    <row r="1" ht="21" customHeight="1">
      <c r="B1" s="1" t="s">
        <v>54</v>
      </c>
    </row>
    <row r="2" ht="12" customHeight="1"/>
    <row r="3" s="3" customFormat="1" ht="12">
      <c r="B3" s="3" t="s">
        <v>0</v>
      </c>
    </row>
    <row r="4" s="3" customFormat="1" ht="6" customHeight="1" thickBot="1"/>
    <row r="5" spans="2:15" s="3" customFormat="1" ht="15" customHeight="1">
      <c r="B5" s="4"/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8</v>
      </c>
      <c r="I5" s="5" t="s">
        <v>141</v>
      </c>
      <c r="J5" s="211" t="s">
        <v>10</v>
      </c>
      <c r="K5" s="5" t="s">
        <v>11</v>
      </c>
      <c r="L5" s="5" t="s">
        <v>13</v>
      </c>
      <c r="M5" s="6" t="s">
        <v>15</v>
      </c>
      <c r="N5" s="5" t="s">
        <v>16</v>
      </c>
      <c r="O5" s="7" t="s">
        <v>17</v>
      </c>
    </row>
    <row r="6" spans="2:15" s="3" customFormat="1" ht="15" customHeight="1" thickBot="1">
      <c r="B6" s="8"/>
      <c r="C6" s="9" t="s">
        <v>18</v>
      </c>
      <c r="D6" s="9" t="s">
        <v>20</v>
      </c>
      <c r="E6" s="9" t="s">
        <v>20</v>
      </c>
      <c r="F6" s="9" t="s">
        <v>22</v>
      </c>
      <c r="G6" s="9" t="s">
        <v>24</v>
      </c>
      <c r="H6" s="9" t="s">
        <v>24</v>
      </c>
      <c r="I6" s="9" t="s">
        <v>23</v>
      </c>
      <c r="J6" s="225" t="s">
        <v>175</v>
      </c>
      <c r="K6" s="9" t="s">
        <v>24</v>
      </c>
      <c r="L6" s="9" t="s">
        <v>24</v>
      </c>
      <c r="M6" s="10" t="s">
        <v>24</v>
      </c>
      <c r="N6" s="9" t="s">
        <v>20</v>
      </c>
      <c r="O6" s="11" t="s">
        <v>20</v>
      </c>
    </row>
    <row r="7" spans="2:15" s="3" customFormat="1" ht="15" customHeight="1">
      <c r="B7" s="12" t="s">
        <v>25</v>
      </c>
      <c r="C7" s="13"/>
      <c r="D7" s="14" t="s">
        <v>26</v>
      </c>
      <c r="E7" s="14" t="s">
        <v>27</v>
      </c>
      <c r="F7" s="14" t="s">
        <v>28</v>
      </c>
      <c r="G7" s="13"/>
      <c r="H7" s="13"/>
      <c r="I7" s="13"/>
      <c r="J7" s="212"/>
      <c r="K7" s="13"/>
      <c r="L7" s="13"/>
      <c r="M7" s="15"/>
      <c r="N7" s="13"/>
      <c r="O7" s="16"/>
    </row>
    <row r="8" spans="2:15" s="3" customFormat="1" ht="15" customHeight="1">
      <c r="B8" s="18" t="s">
        <v>29</v>
      </c>
      <c r="C8" s="19"/>
      <c r="D8" s="19"/>
      <c r="E8" s="19"/>
      <c r="F8" s="19"/>
      <c r="G8" s="19"/>
      <c r="H8" s="19"/>
      <c r="I8" s="19"/>
      <c r="J8" s="220"/>
      <c r="K8" s="19"/>
      <c r="L8" s="19"/>
      <c r="M8" s="20"/>
      <c r="N8" s="19"/>
      <c r="O8" s="21"/>
    </row>
    <row r="9" spans="2:15" s="3" customFormat="1" ht="15" customHeight="1">
      <c r="B9" s="22" t="s">
        <v>30</v>
      </c>
      <c r="C9" s="23"/>
      <c r="D9" s="23"/>
      <c r="E9" s="23"/>
      <c r="F9" s="23"/>
      <c r="G9" s="23"/>
      <c r="H9" s="23"/>
      <c r="I9" s="23"/>
      <c r="J9" s="221"/>
      <c r="K9" s="23"/>
      <c r="L9" s="23"/>
      <c r="M9" s="24"/>
      <c r="N9" s="23"/>
      <c r="O9" s="25"/>
    </row>
    <row r="10" spans="2:15" s="3" customFormat="1" ht="15" customHeight="1">
      <c r="B10" s="18"/>
      <c r="C10" s="19"/>
      <c r="D10" s="19"/>
      <c r="E10" s="19"/>
      <c r="F10" s="19"/>
      <c r="G10" s="19"/>
      <c r="H10" s="19"/>
      <c r="I10" s="19"/>
      <c r="J10" s="220"/>
      <c r="K10" s="19"/>
      <c r="L10" s="19"/>
      <c r="M10" s="20"/>
      <c r="N10" s="19"/>
      <c r="O10" s="21"/>
    </row>
    <row r="11" spans="2:15" s="3" customFormat="1" ht="15" customHeight="1">
      <c r="B11" s="22" t="s">
        <v>31</v>
      </c>
      <c r="C11" s="23"/>
      <c r="D11" s="23"/>
      <c r="E11" s="23"/>
      <c r="F11" s="23"/>
      <c r="G11" s="23"/>
      <c r="H11" s="23"/>
      <c r="I11" s="23"/>
      <c r="J11" s="221"/>
      <c r="K11" s="23"/>
      <c r="L11" s="23"/>
      <c r="M11" s="24"/>
      <c r="N11" s="23"/>
      <c r="O11" s="25"/>
    </row>
    <row r="12" spans="2:15" s="3" customFormat="1" ht="15" customHeight="1" thickBot="1">
      <c r="B12" s="12" t="s">
        <v>32</v>
      </c>
      <c r="C12" s="13"/>
      <c r="D12" s="13"/>
      <c r="E12" s="13"/>
      <c r="F12" s="13"/>
      <c r="G12" s="13"/>
      <c r="H12" s="13"/>
      <c r="I12" s="13"/>
      <c r="J12" s="212"/>
      <c r="K12" s="13"/>
      <c r="L12" s="13"/>
      <c r="M12" s="15"/>
      <c r="N12" s="13"/>
      <c r="O12" s="16"/>
    </row>
    <row r="13" spans="2:15" s="3" customFormat="1" ht="15" customHeight="1">
      <c r="B13" s="26" t="s">
        <v>33</v>
      </c>
      <c r="C13" s="27"/>
      <c r="D13" s="27"/>
      <c r="E13" s="27"/>
      <c r="F13" s="27"/>
      <c r="G13" s="27"/>
      <c r="H13" s="27"/>
      <c r="I13" s="27"/>
      <c r="J13" s="222"/>
      <c r="K13" s="27"/>
      <c r="L13" s="27"/>
      <c r="M13" s="28"/>
      <c r="N13" s="27"/>
      <c r="O13" s="29"/>
    </row>
    <row r="14" spans="2:15" s="3" customFormat="1" ht="15" customHeight="1" thickBot="1">
      <c r="B14" s="30" t="s">
        <v>34</v>
      </c>
      <c r="C14" s="31"/>
      <c r="D14" s="31"/>
      <c r="E14" s="31"/>
      <c r="F14" s="31"/>
      <c r="G14" s="31"/>
      <c r="H14" s="31"/>
      <c r="I14" s="31"/>
      <c r="J14" s="223"/>
      <c r="K14" s="31"/>
      <c r="L14" s="31"/>
      <c r="M14" s="32"/>
      <c r="N14" s="31"/>
      <c r="O14" s="33"/>
    </row>
    <row r="15" spans="2:15" s="3" customFormat="1" ht="15" customHeight="1">
      <c r="B15" s="1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s="3" customFormat="1" ht="12">
      <c r="B16" s="3" t="s">
        <v>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3:15" s="3" customFormat="1" ht="6" customHeight="1" thickBot="1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s="3" customFormat="1" ht="12.75" customHeight="1">
      <c r="B18" s="4"/>
      <c r="C18" s="5" t="s">
        <v>1</v>
      </c>
      <c r="D18" s="5" t="s">
        <v>3</v>
      </c>
      <c r="E18" s="5" t="s">
        <v>4</v>
      </c>
      <c r="F18" s="5" t="s">
        <v>5</v>
      </c>
      <c r="G18" s="5" t="s">
        <v>36</v>
      </c>
      <c r="H18" s="5" t="s">
        <v>8</v>
      </c>
      <c r="I18" s="5" t="s">
        <v>141</v>
      </c>
      <c r="J18" s="211" t="s">
        <v>9</v>
      </c>
      <c r="K18" s="5" t="s">
        <v>11</v>
      </c>
      <c r="L18" s="5" t="s">
        <v>13</v>
      </c>
      <c r="M18" s="6" t="s">
        <v>14</v>
      </c>
      <c r="N18" s="5" t="s">
        <v>16</v>
      </c>
      <c r="O18" s="36" t="s">
        <v>17</v>
      </c>
    </row>
    <row r="19" spans="2:15" s="3" customFormat="1" ht="12.75" customHeight="1" thickBot="1">
      <c r="B19" s="8"/>
      <c r="C19" s="9" t="s">
        <v>37</v>
      </c>
      <c r="D19" s="9" t="s">
        <v>20</v>
      </c>
      <c r="E19" s="9" t="s">
        <v>20</v>
      </c>
      <c r="F19" s="9" t="s">
        <v>21</v>
      </c>
      <c r="G19" s="9" t="s">
        <v>38</v>
      </c>
      <c r="H19" s="9" t="s">
        <v>24</v>
      </c>
      <c r="I19" s="9" t="s">
        <v>23</v>
      </c>
      <c r="J19" s="225" t="s">
        <v>175</v>
      </c>
      <c r="K19" s="9" t="s">
        <v>24</v>
      </c>
      <c r="L19" s="9" t="s">
        <v>24</v>
      </c>
      <c r="M19" s="10" t="s">
        <v>23</v>
      </c>
      <c r="N19" s="9" t="s">
        <v>19</v>
      </c>
      <c r="O19" s="37" t="s">
        <v>20</v>
      </c>
    </row>
    <row r="20" spans="2:15" s="3" customFormat="1" ht="12.75" customHeight="1">
      <c r="B20" s="12" t="s">
        <v>25</v>
      </c>
      <c r="C20" s="13"/>
      <c r="D20" s="14" t="s">
        <v>26</v>
      </c>
      <c r="E20" s="14" t="s">
        <v>27</v>
      </c>
      <c r="F20" s="14" t="s">
        <v>28</v>
      </c>
      <c r="G20" s="13"/>
      <c r="H20" s="13"/>
      <c r="I20" s="13"/>
      <c r="J20" s="212"/>
      <c r="K20" s="13"/>
      <c r="L20" s="13"/>
      <c r="M20" s="15"/>
      <c r="N20" s="13"/>
      <c r="O20" s="38"/>
    </row>
    <row r="21" spans="2:15" s="3" customFormat="1" ht="12.75" customHeight="1">
      <c r="B21" s="18" t="s">
        <v>29</v>
      </c>
      <c r="C21" s="19"/>
      <c r="D21" s="19"/>
      <c r="E21" s="19"/>
      <c r="F21" s="19"/>
      <c r="G21" s="19"/>
      <c r="H21" s="19"/>
      <c r="I21" s="19"/>
      <c r="J21" s="220"/>
      <c r="K21" s="19"/>
      <c r="L21" s="19"/>
      <c r="M21" s="20"/>
      <c r="N21" s="19"/>
      <c r="O21" s="39"/>
    </row>
    <row r="22" spans="2:15" s="3" customFormat="1" ht="12.75" customHeight="1">
      <c r="B22" s="22" t="s">
        <v>30</v>
      </c>
      <c r="C22" s="23"/>
      <c r="D22" s="23"/>
      <c r="E22" s="23"/>
      <c r="F22" s="23"/>
      <c r="G22" s="23"/>
      <c r="H22" s="23"/>
      <c r="I22" s="23"/>
      <c r="J22" s="221"/>
      <c r="K22" s="23"/>
      <c r="L22" s="23"/>
      <c r="M22" s="24"/>
      <c r="N22" s="23"/>
      <c r="O22" s="40"/>
    </row>
    <row r="23" spans="2:15" s="3" customFormat="1" ht="12.75" customHeight="1">
      <c r="B23" s="18"/>
      <c r="C23" s="19"/>
      <c r="D23" s="19"/>
      <c r="E23" s="19"/>
      <c r="F23" s="19"/>
      <c r="G23" s="19"/>
      <c r="H23" s="19"/>
      <c r="I23" s="19"/>
      <c r="J23" s="220"/>
      <c r="K23" s="19"/>
      <c r="L23" s="19"/>
      <c r="M23" s="20"/>
      <c r="N23" s="19"/>
      <c r="O23" s="39"/>
    </row>
    <row r="24" spans="2:15" s="3" customFormat="1" ht="12.75" customHeight="1">
      <c r="B24" s="22" t="s">
        <v>31</v>
      </c>
      <c r="C24" s="23"/>
      <c r="D24" s="23"/>
      <c r="E24" s="23"/>
      <c r="F24" s="23"/>
      <c r="G24" s="23"/>
      <c r="H24" s="23"/>
      <c r="I24" s="23"/>
      <c r="J24" s="221"/>
      <c r="K24" s="23"/>
      <c r="L24" s="23"/>
      <c r="M24" s="24"/>
      <c r="N24" s="23"/>
      <c r="O24" s="40"/>
    </row>
    <row r="25" spans="2:15" s="3" customFormat="1" ht="12.75" customHeight="1">
      <c r="B25" s="12" t="s">
        <v>39</v>
      </c>
      <c r="C25" s="13"/>
      <c r="D25" s="13"/>
      <c r="E25" s="13"/>
      <c r="F25" s="13"/>
      <c r="G25" s="13"/>
      <c r="H25" s="13"/>
      <c r="I25" s="13"/>
      <c r="J25" s="212"/>
      <c r="K25" s="13"/>
      <c r="L25" s="13"/>
      <c r="M25" s="15"/>
      <c r="N25" s="13"/>
      <c r="O25" s="38"/>
    </row>
    <row r="26" spans="2:15" s="3" customFormat="1" ht="12.75" customHeight="1">
      <c r="B26" s="41" t="s">
        <v>40</v>
      </c>
      <c r="C26" s="23"/>
      <c r="D26" s="23"/>
      <c r="E26" s="23"/>
      <c r="F26" s="23"/>
      <c r="G26" s="23"/>
      <c r="H26" s="23"/>
      <c r="I26" s="23"/>
      <c r="J26" s="221"/>
      <c r="K26" s="23"/>
      <c r="L26" s="23"/>
      <c r="M26" s="24"/>
      <c r="N26" s="23"/>
      <c r="O26" s="40"/>
    </row>
    <row r="27" spans="2:15" s="3" customFormat="1" ht="12.75" customHeight="1">
      <c r="B27" s="18" t="s">
        <v>41</v>
      </c>
      <c r="C27" s="19"/>
      <c r="D27" s="19"/>
      <c r="E27" s="19"/>
      <c r="F27" s="19"/>
      <c r="G27" s="19"/>
      <c r="H27" s="19"/>
      <c r="I27" s="19"/>
      <c r="J27" s="220"/>
      <c r="K27" s="19"/>
      <c r="L27" s="19"/>
      <c r="M27" s="20"/>
      <c r="N27" s="19"/>
      <c r="O27" s="39"/>
    </row>
    <row r="28" spans="2:15" s="3" customFormat="1" ht="12.75" customHeight="1">
      <c r="B28" s="22" t="s">
        <v>42</v>
      </c>
      <c r="C28" s="23"/>
      <c r="D28" s="23"/>
      <c r="E28" s="23"/>
      <c r="F28" s="23"/>
      <c r="G28" s="23"/>
      <c r="H28" s="23"/>
      <c r="I28" s="23"/>
      <c r="J28" s="221"/>
      <c r="K28" s="23"/>
      <c r="L28" s="23"/>
      <c r="M28" s="24"/>
      <c r="N28" s="13"/>
      <c r="O28" s="40"/>
    </row>
    <row r="29" spans="2:15" s="3" customFormat="1" ht="12.75" customHeight="1" thickBot="1">
      <c r="B29" s="12"/>
      <c r="C29" s="13"/>
      <c r="D29" s="13"/>
      <c r="E29" s="13"/>
      <c r="F29" s="13"/>
      <c r="G29" s="13"/>
      <c r="H29" s="13"/>
      <c r="I29" s="19"/>
      <c r="J29" s="212"/>
      <c r="K29" s="13"/>
      <c r="L29" s="13"/>
      <c r="M29" s="15"/>
      <c r="N29" s="13"/>
      <c r="O29" s="39"/>
    </row>
    <row r="30" spans="2:15" s="3" customFormat="1" ht="12.75" customHeight="1">
      <c r="B30" s="26" t="s">
        <v>33</v>
      </c>
      <c r="C30" s="27"/>
      <c r="D30" s="27"/>
      <c r="E30" s="27"/>
      <c r="F30" s="27"/>
      <c r="G30" s="27"/>
      <c r="H30" s="27"/>
      <c r="I30" s="27"/>
      <c r="J30" s="222"/>
      <c r="K30" s="27"/>
      <c r="L30" s="27"/>
      <c r="M30" s="28"/>
      <c r="N30" s="27"/>
      <c r="O30" s="29"/>
    </row>
    <row r="31" spans="2:15" s="3" customFormat="1" ht="12.75" customHeight="1" thickBot="1">
      <c r="B31" s="30" t="s">
        <v>43</v>
      </c>
      <c r="C31" s="31"/>
      <c r="D31" s="31"/>
      <c r="E31" s="31"/>
      <c r="F31" s="31"/>
      <c r="G31" s="31"/>
      <c r="H31" s="31"/>
      <c r="I31" s="31"/>
      <c r="J31" s="223"/>
      <c r="K31" s="31"/>
      <c r="L31" s="31"/>
      <c r="M31" s="32"/>
      <c r="N31" s="31"/>
      <c r="O31" s="33"/>
    </row>
    <row r="32" spans="3:15" s="3" customFormat="1" ht="15" customHeight="1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2:15" s="3" customFormat="1" ht="12">
      <c r="B33" s="3" t="s">
        <v>145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3:15" s="3" customFormat="1" ht="6" customHeight="1" thickBot="1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s="3" customFormat="1" ht="12.75" customHeight="1">
      <c r="B35" s="4"/>
      <c r="C35" s="5" t="s">
        <v>1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8</v>
      </c>
      <c r="I35" s="5" t="s">
        <v>141</v>
      </c>
      <c r="J35" s="211" t="s">
        <v>44</v>
      </c>
      <c r="K35" s="5" t="s">
        <v>45</v>
      </c>
      <c r="L35" s="5" t="s">
        <v>12</v>
      </c>
      <c r="M35" s="6" t="s">
        <v>14</v>
      </c>
      <c r="N35" s="5" t="s">
        <v>16</v>
      </c>
      <c r="O35" s="7" t="s">
        <v>17</v>
      </c>
    </row>
    <row r="36" spans="2:15" s="3" customFormat="1" ht="12.75" customHeight="1" thickBot="1">
      <c r="B36" s="8"/>
      <c r="C36" s="9" t="s">
        <v>46</v>
      </c>
      <c r="D36" s="9" t="s">
        <v>47</v>
      </c>
      <c r="E36" s="9" t="s">
        <v>48</v>
      </c>
      <c r="F36" s="9" t="s">
        <v>21</v>
      </c>
      <c r="G36" s="9" t="s">
        <v>23</v>
      </c>
      <c r="H36" s="9" t="s">
        <v>49</v>
      </c>
      <c r="I36" s="9" t="s">
        <v>23</v>
      </c>
      <c r="J36" s="225" t="s">
        <v>175</v>
      </c>
      <c r="K36" s="9" t="s">
        <v>24</v>
      </c>
      <c r="L36" s="9" t="s">
        <v>24</v>
      </c>
      <c r="M36" s="10" t="s">
        <v>23</v>
      </c>
      <c r="N36" s="9" t="s">
        <v>47</v>
      </c>
      <c r="O36" s="11" t="s">
        <v>20</v>
      </c>
    </row>
    <row r="37" spans="2:15" s="3" customFormat="1" ht="12.75" customHeight="1">
      <c r="B37" s="226" t="s">
        <v>176</v>
      </c>
      <c r="C37" s="13"/>
      <c r="D37" s="191" t="s">
        <v>162</v>
      </c>
      <c r="E37" s="191" t="s">
        <v>163</v>
      </c>
      <c r="F37" s="42" t="s">
        <v>50</v>
      </c>
      <c r="G37" s="13"/>
      <c r="H37" s="13"/>
      <c r="I37" s="13"/>
      <c r="J37" s="212"/>
      <c r="K37" s="13"/>
      <c r="L37" s="13"/>
      <c r="M37" s="15"/>
      <c r="N37" s="13"/>
      <c r="O37" s="16"/>
    </row>
    <row r="38" spans="2:15" s="3" customFormat="1" ht="12.75" customHeight="1">
      <c r="B38" s="18" t="s">
        <v>29</v>
      </c>
      <c r="C38" s="192">
        <v>1300</v>
      </c>
      <c r="D38" s="43">
        <v>54</v>
      </c>
      <c r="E38" s="43">
        <v>36</v>
      </c>
      <c r="F38" s="43">
        <v>187</v>
      </c>
      <c r="G38" s="43">
        <v>600</v>
      </c>
      <c r="H38" s="43">
        <v>5.5</v>
      </c>
      <c r="I38" s="219" t="s">
        <v>164</v>
      </c>
      <c r="J38" s="213">
        <v>450</v>
      </c>
      <c r="K38" s="43">
        <v>0.7</v>
      </c>
      <c r="L38" s="43">
        <v>0.8</v>
      </c>
      <c r="M38" s="193">
        <v>50</v>
      </c>
      <c r="N38" s="206" t="s">
        <v>165</v>
      </c>
      <c r="O38" s="207" t="s">
        <v>166</v>
      </c>
    </row>
    <row r="39" spans="2:15" s="3" customFormat="1" ht="12.75" customHeight="1">
      <c r="B39" s="22" t="s">
        <v>51</v>
      </c>
      <c r="C39" s="194"/>
      <c r="D39" s="194"/>
      <c r="E39" s="194"/>
      <c r="F39" s="194"/>
      <c r="G39" s="194"/>
      <c r="H39" s="194"/>
      <c r="I39" s="194"/>
      <c r="J39" s="214"/>
      <c r="K39" s="194"/>
      <c r="L39" s="194"/>
      <c r="M39" s="195"/>
      <c r="N39" s="194"/>
      <c r="O39" s="196"/>
    </row>
    <row r="40" spans="2:15" s="3" customFormat="1" ht="12.75" customHeight="1">
      <c r="B40" s="45"/>
      <c r="C40" s="43">
        <v>45</v>
      </c>
      <c r="D40" s="43">
        <v>45</v>
      </c>
      <c r="E40" s="43">
        <v>45</v>
      </c>
      <c r="F40" s="43">
        <v>45</v>
      </c>
      <c r="G40" s="43">
        <v>45</v>
      </c>
      <c r="H40" s="43">
        <v>45</v>
      </c>
      <c r="I40" s="43">
        <v>45</v>
      </c>
      <c r="J40" s="213">
        <v>45</v>
      </c>
      <c r="K40" s="43">
        <v>45</v>
      </c>
      <c r="L40" s="43">
        <v>45</v>
      </c>
      <c r="M40" s="193">
        <v>45</v>
      </c>
      <c r="N40" s="43">
        <v>45</v>
      </c>
      <c r="O40" s="197">
        <v>45</v>
      </c>
    </row>
    <row r="41" spans="2:15" s="3" customFormat="1" ht="12.75" customHeight="1">
      <c r="B41" s="22" t="s">
        <v>31</v>
      </c>
      <c r="C41" s="194"/>
      <c r="D41" s="194"/>
      <c r="E41" s="194"/>
      <c r="F41" s="194"/>
      <c r="G41" s="194"/>
      <c r="H41" s="194"/>
      <c r="I41" s="47"/>
      <c r="J41" s="214"/>
      <c r="K41" s="194"/>
      <c r="L41" s="194"/>
      <c r="M41" s="195"/>
      <c r="N41" s="194"/>
      <c r="O41" s="44"/>
    </row>
    <row r="42" spans="2:15" s="3" customFormat="1" ht="12.75" customHeight="1">
      <c r="B42" s="12" t="s">
        <v>39</v>
      </c>
      <c r="C42" s="46">
        <f>+C38*C40/100</f>
        <v>585</v>
      </c>
      <c r="D42" s="47">
        <v>25</v>
      </c>
      <c r="E42" s="224">
        <f aca="true" t="shared" si="0" ref="E42:M42">+E38*E40/100</f>
        <v>16.2</v>
      </c>
      <c r="F42" s="46">
        <f>+F38*F40/100</f>
        <v>84.15</v>
      </c>
      <c r="G42" s="47">
        <f t="shared" si="0"/>
        <v>270</v>
      </c>
      <c r="H42" s="198">
        <f t="shared" si="0"/>
        <v>2.475</v>
      </c>
      <c r="I42" s="46">
        <f>1400*I40/100</f>
        <v>630</v>
      </c>
      <c r="J42" s="215">
        <f t="shared" si="0"/>
        <v>202.5</v>
      </c>
      <c r="K42" s="208">
        <f t="shared" si="0"/>
        <v>0.31499999999999995</v>
      </c>
      <c r="L42" s="47">
        <f>+L38*L40/100</f>
        <v>0.36</v>
      </c>
      <c r="M42" s="210">
        <f t="shared" si="0"/>
        <v>22.5</v>
      </c>
      <c r="N42" s="47">
        <f>8*N40/100</f>
        <v>3.6</v>
      </c>
      <c r="O42" s="48">
        <f>3.5*O40/100</f>
        <v>1.575</v>
      </c>
    </row>
    <row r="43" spans="2:15" s="3" customFormat="1" ht="12.75" customHeight="1">
      <c r="B43" s="22" t="s">
        <v>134</v>
      </c>
      <c r="C43" s="194"/>
      <c r="D43" s="194"/>
      <c r="E43" s="194"/>
      <c r="F43" s="194"/>
      <c r="G43" s="194"/>
      <c r="H43" s="194"/>
      <c r="I43" s="194"/>
      <c r="J43" s="214"/>
      <c r="K43" s="194"/>
      <c r="L43" s="194"/>
      <c r="M43" s="195"/>
      <c r="N43" s="194"/>
      <c r="O43" s="196"/>
    </row>
    <row r="44" spans="2:15" s="3" customFormat="1" ht="12.75" customHeight="1">
      <c r="B44" s="18" t="s">
        <v>41</v>
      </c>
      <c r="C44" s="47">
        <v>185</v>
      </c>
      <c r="D44" s="47">
        <v>2.8</v>
      </c>
      <c r="E44" s="47">
        <v>0.3</v>
      </c>
      <c r="F44" s="47">
        <v>40.8</v>
      </c>
      <c r="G44" s="47">
        <v>3</v>
      </c>
      <c r="H44" s="47">
        <v>0.1</v>
      </c>
      <c r="I44" s="47">
        <v>32</v>
      </c>
      <c r="J44" s="216">
        <v>0</v>
      </c>
      <c r="K44" s="47">
        <v>0.02</v>
      </c>
      <c r="L44" s="47">
        <v>0.01</v>
      </c>
      <c r="M44" s="199">
        <v>0</v>
      </c>
      <c r="N44" s="47">
        <v>1.7</v>
      </c>
      <c r="O44" s="44">
        <v>0</v>
      </c>
    </row>
    <row r="45" spans="2:15" s="3" customFormat="1" ht="12.75" customHeight="1">
      <c r="B45" s="22" t="s">
        <v>42</v>
      </c>
      <c r="C45" s="194"/>
      <c r="D45" s="194"/>
      <c r="E45" s="194"/>
      <c r="F45" s="194"/>
      <c r="G45" s="194"/>
      <c r="H45" s="194"/>
      <c r="I45" s="194"/>
      <c r="J45" s="214"/>
      <c r="K45" s="194"/>
      <c r="L45" s="194"/>
      <c r="M45" s="195"/>
      <c r="N45" s="194"/>
      <c r="O45" s="196"/>
    </row>
    <row r="46" spans="2:15" s="3" customFormat="1" ht="12.75" customHeight="1" thickBot="1">
      <c r="B46" s="12"/>
      <c r="C46" s="46">
        <f>+C42-C44</f>
        <v>400</v>
      </c>
      <c r="D46" s="47">
        <v>22.2</v>
      </c>
      <c r="E46" s="198">
        <f>+E42-E44</f>
        <v>15.899999999999999</v>
      </c>
      <c r="F46" s="200">
        <f>F42-F44</f>
        <v>43.35000000000001</v>
      </c>
      <c r="G46" s="47">
        <f aca="true" t="shared" si="1" ref="G46:O46">+G42-G44</f>
        <v>267</v>
      </c>
      <c r="H46" s="198">
        <f t="shared" si="1"/>
        <v>2.375</v>
      </c>
      <c r="I46" s="46">
        <f>+I42-I44</f>
        <v>598</v>
      </c>
      <c r="J46" s="215">
        <f t="shared" si="1"/>
        <v>202.5</v>
      </c>
      <c r="K46" s="208">
        <f t="shared" si="1"/>
        <v>0.29499999999999993</v>
      </c>
      <c r="L46" s="47">
        <f>+L42-L44</f>
        <v>0.35</v>
      </c>
      <c r="M46" s="210">
        <f t="shared" si="1"/>
        <v>22.5</v>
      </c>
      <c r="N46" s="47">
        <f t="shared" si="1"/>
        <v>1.9000000000000001</v>
      </c>
      <c r="O46" s="48">
        <f t="shared" si="1"/>
        <v>1.575</v>
      </c>
    </row>
    <row r="47" spans="2:15" s="3" customFormat="1" ht="12.75" customHeight="1">
      <c r="B47" s="26" t="s">
        <v>33</v>
      </c>
      <c r="C47" s="201"/>
      <c r="D47" s="201"/>
      <c r="E47" s="201"/>
      <c r="F47" s="201"/>
      <c r="G47" s="201"/>
      <c r="H47" s="201"/>
      <c r="I47" s="201"/>
      <c r="J47" s="217"/>
      <c r="K47" s="201"/>
      <c r="L47" s="201"/>
      <c r="M47" s="202"/>
      <c r="N47" s="201"/>
      <c r="O47" s="203"/>
    </row>
    <row r="48" spans="2:15" s="3" customFormat="1" ht="12.75" customHeight="1" thickBot="1">
      <c r="B48" s="30" t="s">
        <v>43</v>
      </c>
      <c r="C48" s="204">
        <v>400</v>
      </c>
      <c r="D48" s="204">
        <v>22</v>
      </c>
      <c r="E48" s="204">
        <v>16</v>
      </c>
      <c r="F48" s="204">
        <v>43</v>
      </c>
      <c r="G48" s="204">
        <v>270</v>
      </c>
      <c r="H48" s="204">
        <v>2.4</v>
      </c>
      <c r="I48" s="204" t="s">
        <v>143</v>
      </c>
      <c r="J48" s="218">
        <v>200</v>
      </c>
      <c r="K48" s="209">
        <v>0.3</v>
      </c>
      <c r="L48" s="204">
        <v>0.35</v>
      </c>
      <c r="M48" s="205">
        <v>25</v>
      </c>
      <c r="N48" s="49" t="s">
        <v>140</v>
      </c>
      <c r="O48" s="50" t="s">
        <v>139</v>
      </c>
    </row>
    <row r="49" s="3" customFormat="1" ht="12">
      <c r="B49" s="34" t="s">
        <v>167</v>
      </c>
    </row>
    <row r="50" s="3" customFormat="1" ht="12">
      <c r="B50" s="51" t="s">
        <v>169</v>
      </c>
    </row>
    <row r="51" s="3" customFormat="1" ht="12">
      <c r="B51" s="51" t="s">
        <v>168</v>
      </c>
    </row>
    <row r="52" s="3" customFormat="1" ht="12">
      <c r="B52" s="51" t="s">
        <v>53</v>
      </c>
    </row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>
      <c r="M58" s="3" t="s">
        <v>145</v>
      </c>
    </row>
    <row r="59" s="3" customFormat="1" ht="12"/>
    <row r="60" spans="14:26" s="3" customFormat="1" ht="12">
      <c r="N60" s="3" t="s">
        <v>146</v>
      </c>
      <c r="O60" s="3" t="s">
        <v>3</v>
      </c>
      <c r="P60" s="3" t="s">
        <v>4</v>
      </c>
      <c r="Q60" s="3" t="s">
        <v>5</v>
      </c>
      <c r="R60" s="3" t="s">
        <v>147</v>
      </c>
      <c r="S60" s="3" t="s">
        <v>8</v>
      </c>
      <c r="T60" s="3" t="s">
        <v>148</v>
      </c>
      <c r="U60" s="3" t="s">
        <v>149</v>
      </c>
      <c r="V60" s="3" t="s">
        <v>150</v>
      </c>
      <c r="W60" s="3" t="s">
        <v>151</v>
      </c>
      <c r="X60" s="3" t="s">
        <v>152</v>
      </c>
      <c r="Y60" s="3" t="s">
        <v>16</v>
      </c>
      <c r="Z60" s="3" t="s">
        <v>17</v>
      </c>
    </row>
    <row r="61" spans="14:26" s="3" customFormat="1" ht="12">
      <c r="N61" s="3" t="s">
        <v>153</v>
      </c>
      <c r="O61" s="3" t="s">
        <v>154</v>
      </c>
      <c r="P61" s="3" t="s">
        <v>154</v>
      </c>
      <c r="Q61" s="3" t="s">
        <v>155</v>
      </c>
      <c r="R61" s="3" t="s">
        <v>156</v>
      </c>
      <c r="S61" s="3" t="s">
        <v>156</v>
      </c>
      <c r="T61" s="3" t="s">
        <v>156</v>
      </c>
      <c r="U61" s="3" t="s">
        <v>157</v>
      </c>
      <c r="V61" s="3" t="s">
        <v>156</v>
      </c>
      <c r="W61" s="3" t="s">
        <v>156</v>
      </c>
      <c r="X61" s="3" t="s">
        <v>156</v>
      </c>
      <c r="Y61" s="3" t="s">
        <v>154</v>
      </c>
      <c r="Z61" s="3" t="s">
        <v>154</v>
      </c>
    </row>
    <row r="62" spans="13:17" s="3" customFormat="1" ht="12">
      <c r="M62" s="3" t="s">
        <v>25</v>
      </c>
      <c r="O62" s="3" t="s">
        <v>136</v>
      </c>
      <c r="P62" s="3" t="s">
        <v>158</v>
      </c>
      <c r="Q62" s="3" t="s">
        <v>159</v>
      </c>
    </row>
    <row r="63" spans="13:26" s="3" customFormat="1" ht="12">
      <c r="M63" s="3" t="s">
        <v>29</v>
      </c>
      <c r="N63" s="3">
        <v>1300</v>
      </c>
      <c r="O63" s="3">
        <v>55</v>
      </c>
      <c r="P63" s="3">
        <v>40</v>
      </c>
      <c r="Q63" s="3">
        <v>196</v>
      </c>
      <c r="R63" s="3">
        <v>600</v>
      </c>
      <c r="S63" s="3">
        <v>5.5</v>
      </c>
      <c r="T63" s="3" t="s">
        <v>142</v>
      </c>
      <c r="U63" s="3">
        <v>450</v>
      </c>
      <c r="V63" s="3">
        <v>0.7</v>
      </c>
      <c r="W63" s="3">
        <v>0.8</v>
      </c>
      <c r="X63" s="3">
        <v>50</v>
      </c>
      <c r="Y63" s="3" t="s">
        <v>137</v>
      </c>
      <c r="Z63" s="3" t="s">
        <v>138</v>
      </c>
    </row>
    <row r="64" s="3" customFormat="1" ht="12">
      <c r="M64" s="3" t="s">
        <v>51</v>
      </c>
    </row>
    <row r="65" spans="14:26" s="3" customFormat="1" ht="12">
      <c r="N65" s="3">
        <v>45</v>
      </c>
      <c r="O65" s="3">
        <v>45</v>
      </c>
      <c r="P65" s="3">
        <v>45</v>
      </c>
      <c r="Q65" s="3">
        <v>45</v>
      </c>
      <c r="R65" s="3">
        <v>45</v>
      </c>
      <c r="S65" s="3">
        <v>45</v>
      </c>
      <c r="T65" s="3">
        <v>45</v>
      </c>
      <c r="U65" s="3">
        <v>45</v>
      </c>
      <c r="V65" s="3">
        <v>45</v>
      </c>
      <c r="W65" s="3">
        <v>45</v>
      </c>
      <c r="X65" s="3">
        <v>45</v>
      </c>
      <c r="Y65" s="3">
        <v>45</v>
      </c>
      <c r="Z65" s="3">
        <v>45</v>
      </c>
    </row>
    <row r="66" s="3" customFormat="1" ht="12">
      <c r="M66" s="3" t="s">
        <v>31</v>
      </c>
    </row>
    <row r="67" spans="13:26" s="3" customFormat="1" ht="12">
      <c r="M67" s="3" t="s">
        <v>160</v>
      </c>
      <c r="N67" s="3">
        <v>585</v>
      </c>
      <c r="O67" s="3">
        <v>25</v>
      </c>
      <c r="P67" s="3">
        <v>18</v>
      </c>
      <c r="Q67" s="3">
        <v>88.2</v>
      </c>
      <c r="R67" s="3">
        <v>270</v>
      </c>
      <c r="S67" s="3">
        <v>2.475</v>
      </c>
      <c r="T67" s="3">
        <v>630</v>
      </c>
      <c r="U67" s="3">
        <v>202.5</v>
      </c>
      <c r="V67" s="3">
        <v>0.31499999999999995</v>
      </c>
      <c r="W67" s="3">
        <v>0.36</v>
      </c>
      <c r="X67" s="3">
        <v>22.5</v>
      </c>
      <c r="Y67" s="3">
        <v>3.6</v>
      </c>
      <c r="Z67" s="3">
        <v>1.575</v>
      </c>
    </row>
    <row r="68" s="3" customFormat="1" ht="12">
      <c r="M68" s="3" t="s">
        <v>134</v>
      </c>
    </row>
    <row r="69" spans="13:26" s="3" customFormat="1" ht="14.25">
      <c r="M69" s="3" t="s">
        <v>41</v>
      </c>
      <c r="N69" s="3">
        <v>185</v>
      </c>
      <c r="O69" s="3">
        <v>2.8</v>
      </c>
      <c r="P69" s="3">
        <v>0.3</v>
      </c>
      <c r="Q69" s="3">
        <v>40.8</v>
      </c>
      <c r="R69" s="3">
        <v>3</v>
      </c>
      <c r="S69" s="3">
        <v>0.1</v>
      </c>
      <c r="T69" s="3">
        <v>32</v>
      </c>
      <c r="U69" s="3">
        <v>0</v>
      </c>
      <c r="V69" s="3">
        <v>0.02</v>
      </c>
      <c r="W69" s="3">
        <v>0.01</v>
      </c>
      <c r="X69" s="3">
        <v>0</v>
      </c>
      <c r="Y69" s="3">
        <v>1.7</v>
      </c>
      <c r="Z69" s="3">
        <v>0</v>
      </c>
    </row>
    <row r="70" s="3" customFormat="1" ht="12">
      <c r="M70" s="3" t="s">
        <v>161</v>
      </c>
    </row>
    <row r="71" spans="14:26" s="3" customFormat="1" ht="12">
      <c r="N71" s="3">
        <v>400</v>
      </c>
      <c r="O71" s="3">
        <v>22.2</v>
      </c>
      <c r="P71" s="3">
        <v>17.7</v>
      </c>
      <c r="Q71" s="3">
        <v>47.400000000000006</v>
      </c>
      <c r="R71" s="3">
        <v>267</v>
      </c>
      <c r="S71" s="3">
        <v>2.375</v>
      </c>
      <c r="T71" s="3">
        <v>598</v>
      </c>
      <c r="U71" s="3">
        <v>202.5</v>
      </c>
      <c r="V71" s="3">
        <v>0.29499999999999993</v>
      </c>
      <c r="W71" s="3">
        <v>0.35</v>
      </c>
      <c r="X71" s="3">
        <v>22.5</v>
      </c>
      <c r="Y71" s="3">
        <v>1.9000000000000001</v>
      </c>
      <c r="Z71" s="3">
        <v>1.575</v>
      </c>
    </row>
    <row r="72" s="3" customFormat="1" ht="12">
      <c r="M72" s="3" t="s">
        <v>33</v>
      </c>
    </row>
    <row r="73" spans="13:26" s="3" customFormat="1" ht="12">
      <c r="M73" s="3" t="s">
        <v>43</v>
      </c>
      <c r="N73" s="3">
        <v>400</v>
      </c>
      <c r="O73" s="3">
        <v>25</v>
      </c>
      <c r="P73" s="3">
        <v>18</v>
      </c>
      <c r="Q73" s="3">
        <v>57</v>
      </c>
      <c r="R73" s="3">
        <v>270</v>
      </c>
      <c r="S73" s="3">
        <v>2.4</v>
      </c>
      <c r="T73" s="3" t="s">
        <v>143</v>
      </c>
      <c r="U73" s="3">
        <v>200</v>
      </c>
      <c r="V73" s="3">
        <v>0.3</v>
      </c>
      <c r="W73" s="3">
        <v>0.35</v>
      </c>
      <c r="X73" s="3">
        <v>25</v>
      </c>
      <c r="Y73" s="3" t="s">
        <v>140</v>
      </c>
      <c r="Z73" s="3" t="s">
        <v>139</v>
      </c>
    </row>
    <row r="74" s="3" customFormat="1" ht="12">
      <c r="M74" s="3" t="s">
        <v>144</v>
      </c>
    </row>
    <row r="75" s="3" customFormat="1" ht="12">
      <c r="M75" s="3" t="s">
        <v>135</v>
      </c>
    </row>
    <row r="76" s="3" customFormat="1" ht="12">
      <c r="M76" s="3" t="s">
        <v>52</v>
      </c>
    </row>
    <row r="77" ht="13.5">
      <c r="M77" s="2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3"/>
  <sheetViews>
    <sheetView tabSelected="1" view="pageBreakPreview" zoomScaleSheetLayoutView="100" zoomScalePageLayoutView="60" workbookViewId="0" topLeftCell="A1">
      <selection activeCell="K80" sqref="K80"/>
    </sheetView>
  </sheetViews>
  <sheetFormatPr defaultColWidth="9.00390625" defaultRowHeight="27.75" customHeight="1"/>
  <cols>
    <col min="1" max="1" width="7.25390625" style="2" customWidth="1"/>
    <col min="2" max="2" width="9.25390625" style="56" customWidth="1"/>
    <col min="3" max="3" width="7.25390625" style="56" customWidth="1"/>
    <col min="4" max="4" width="14.375" style="56" customWidth="1"/>
    <col min="5" max="5" width="9.00390625" style="2" customWidth="1"/>
    <col min="6" max="6" width="11.75390625" style="2" customWidth="1"/>
    <col min="7" max="7" width="11.875" style="2" customWidth="1"/>
    <col min="8" max="9" width="7.375" style="2" customWidth="1"/>
    <col min="10" max="10" width="8.00390625" style="56" customWidth="1"/>
    <col min="11" max="12" width="10.375" style="2" customWidth="1"/>
    <col min="13" max="13" width="10.375" style="60" customWidth="1"/>
    <col min="14" max="16" width="10.375" style="2" customWidth="1"/>
    <col min="17" max="20" width="10.00390625" style="2" customWidth="1"/>
    <col min="21" max="26" width="9.00390625" style="61" customWidth="1"/>
    <col min="27" max="16384" width="9.00390625" style="2" customWidth="1"/>
  </cols>
  <sheetData>
    <row r="1" spans="1:20" ht="27.75" customHeight="1">
      <c r="A1" s="53" t="s">
        <v>117</v>
      </c>
      <c r="T1" s="54" t="s">
        <v>118</v>
      </c>
    </row>
    <row r="2" ht="27.75" customHeight="1">
      <c r="A2" s="1"/>
    </row>
    <row r="3" spans="1:13" ht="27.75" customHeight="1">
      <c r="A3" s="62" t="s">
        <v>57</v>
      </c>
      <c r="B3" s="63" t="s">
        <v>119</v>
      </c>
      <c r="C3" s="2"/>
      <c r="D3" s="2"/>
      <c r="J3" s="2"/>
      <c r="M3" s="2"/>
    </row>
    <row r="4" spans="1:17" ht="27.75" customHeight="1">
      <c r="A4" s="62" t="s">
        <v>58</v>
      </c>
      <c r="B4" s="64" t="s">
        <v>120</v>
      </c>
      <c r="C4" s="6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27.75" customHeight="1">
      <c r="A5" s="62"/>
      <c r="B5" s="64" t="s">
        <v>121</v>
      </c>
      <c r="C5" s="6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6" ht="27.75" customHeight="1">
      <c r="A6" s="62" t="s">
        <v>59</v>
      </c>
      <c r="B6" s="350" t="s">
        <v>171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</row>
    <row r="7" spans="1:13" ht="27.75" customHeight="1">
      <c r="A7" s="62" t="s">
        <v>60</v>
      </c>
      <c r="B7" s="55" t="s">
        <v>122</v>
      </c>
      <c r="C7" s="2"/>
      <c r="D7" s="2"/>
      <c r="J7" s="2"/>
      <c r="M7" s="2"/>
    </row>
    <row r="8" spans="1:17" ht="27.75" customHeight="1">
      <c r="A8" s="62" t="s">
        <v>61</v>
      </c>
      <c r="B8" s="64" t="s">
        <v>123</v>
      </c>
      <c r="C8" s="6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27.75" customHeight="1">
      <c r="A9" s="55"/>
      <c r="B9" s="59" t="s">
        <v>124</v>
      </c>
      <c r="C9" s="6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ht="27.75" customHeight="1" thickBot="1">
      <c r="A10" s="66"/>
    </row>
    <row r="11" spans="1:26" ht="27.75" customHeight="1">
      <c r="A11" s="56"/>
      <c r="D11" s="2"/>
      <c r="F11" s="56"/>
      <c r="H11" s="52"/>
      <c r="I11" s="351" t="s">
        <v>62</v>
      </c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3"/>
      <c r="X11" s="2"/>
      <c r="Y11" s="2"/>
      <c r="Z11" s="2"/>
    </row>
    <row r="12" spans="1:26" ht="27.75" customHeight="1" thickBot="1">
      <c r="A12" s="66" t="s">
        <v>63</v>
      </c>
      <c r="D12" s="67">
        <v>-100</v>
      </c>
      <c r="E12" s="67" t="s">
        <v>64</v>
      </c>
      <c r="F12" s="354"/>
      <c r="G12" s="355"/>
      <c r="H12" s="68"/>
      <c r="I12" s="356" t="s">
        <v>65</v>
      </c>
      <c r="J12" s="357"/>
      <c r="K12" s="358" t="s">
        <v>66</v>
      </c>
      <c r="L12" s="358"/>
      <c r="M12" s="357" t="s">
        <v>67</v>
      </c>
      <c r="N12" s="357"/>
      <c r="O12" s="358" t="s">
        <v>68</v>
      </c>
      <c r="P12" s="358"/>
      <c r="Q12" s="358" t="s">
        <v>69</v>
      </c>
      <c r="R12" s="358"/>
      <c r="S12" s="357" t="s">
        <v>70</v>
      </c>
      <c r="T12" s="359"/>
      <c r="X12" s="2"/>
      <c r="Y12" s="2"/>
      <c r="Z12" s="2"/>
    </row>
    <row r="13" spans="1:26" ht="27.75" customHeight="1" thickBot="1">
      <c r="A13" s="343" t="s">
        <v>71</v>
      </c>
      <c r="B13" s="344"/>
      <c r="C13" s="69" t="s">
        <v>72</v>
      </c>
      <c r="D13" s="67">
        <v>-20</v>
      </c>
      <c r="E13" s="67" t="s">
        <v>73</v>
      </c>
      <c r="F13" s="345" t="s">
        <v>71</v>
      </c>
      <c r="G13" s="346"/>
      <c r="H13" s="58" t="s">
        <v>72</v>
      </c>
      <c r="I13" s="70" t="s">
        <v>74</v>
      </c>
      <c r="J13" s="57" t="s">
        <v>75</v>
      </c>
      <c r="K13" s="71" t="s">
        <v>74</v>
      </c>
      <c r="L13" s="72" t="s">
        <v>75</v>
      </c>
      <c r="M13" s="73" t="s">
        <v>74</v>
      </c>
      <c r="N13" s="72" t="s">
        <v>75</v>
      </c>
      <c r="O13" s="73" t="s">
        <v>74</v>
      </c>
      <c r="P13" s="57" t="s">
        <v>75</v>
      </c>
      <c r="Q13" s="71" t="s">
        <v>74</v>
      </c>
      <c r="R13" s="72" t="s">
        <v>75</v>
      </c>
      <c r="S13" s="73" t="s">
        <v>74</v>
      </c>
      <c r="T13" s="74" t="s">
        <v>75</v>
      </c>
      <c r="X13" s="2"/>
      <c r="Y13" s="2"/>
      <c r="Z13" s="2"/>
    </row>
    <row r="14" spans="1:26" ht="27.75" customHeight="1">
      <c r="A14" s="347" t="s">
        <v>76</v>
      </c>
      <c r="B14" s="348"/>
      <c r="C14" s="75" t="s">
        <v>77</v>
      </c>
      <c r="D14" s="67">
        <v>-15</v>
      </c>
      <c r="E14" s="67" t="s">
        <v>78</v>
      </c>
      <c r="F14" s="347" t="s">
        <v>76</v>
      </c>
      <c r="G14" s="349"/>
      <c r="H14" s="76" t="s">
        <v>79</v>
      </c>
      <c r="I14" s="77">
        <f>_xlfn.COUNTIFS($C$24:$C$53,"=5",$E$24:$E$53,"=男",$N$24:$N$53,"=ふとりすぎ")</f>
        <v>0</v>
      </c>
      <c r="J14" s="78">
        <f>_xlfn.COUNTIFS($C$24:$C$53,"=5",$E$24:$E$53,"=女",$N$24:$N$53,"=ふとりすぎ")</f>
        <v>0</v>
      </c>
      <c r="K14" s="79">
        <f>_xlfn.COUNTIFS($C$24:$C$53,"=4",$E$24:$E$53,"=男",$N$24:$N$53,"=ふとりすぎ")</f>
        <v>0</v>
      </c>
      <c r="L14" s="78">
        <f>_xlfn.COUNTIFS($C$24:$C$53,"=4",$E$24:$E$53,"=女",$N$24:$N$53,"=ふとりすぎ")</f>
        <v>0</v>
      </c>
      <c r="M14" s="79">
        <f>_xlfn.COUNTIFS($C$24:$C$53,"=3",$E$24:$E$53,"=男",$N$24:$N$53,"=ふとりすぎ")</f>
        <v>0</v>
      </c>
      <c r="N14" s="78">
        <f>_xlfn.COUNTIFS($C$24:$C$53,"=3",$E$24:$E$53,"=女",$N$24:$N$53,"=ふとりすぎ")</f>
        <v>0</v>
      </c>
      <c r="O14" s="79">
        <f>_xlfn.COUNTIFS($C$24:$C$53,"=2",$E$24:$E$53,"=男",$N$24:$N$53,"=ふとりすぎ")</f>
        <v>0</v>
      </c>
      <c r="P14" s="78">
        <f>_xlfn.COUNTIFS($C$24:$C$53,"=2",$E$24:$E$53,"=女",$N$24:$N$53,"=ふとりすぎ")</f>
        <v>0</v>
      </c>
      <c r="Q14" s="79">
        <f>_xlfn.COUNTIFS($C$24:$C$53,"=1",$E$24:$E$53,"=男",$N$24:$N$53,"=ふとりすぎ")</f>
        <v>0</v>
      </c>
      <c r="R14" s="78">
        <f>_xlfn.COUNTIFS($C$24:$C$53,"=1",$E$24:$E$53,"=女",$N$24:$N$53,"=ふとりすぎ")</f>
        <v>0</v>
      </c>
      <c r="S14" s="79">
        <f>_xlfn.COUNTIFS($C$24:$C$53,"=0",$E$24:$E$53,"=男",$N$24:$N$53,"=ふとりすぎ")</f>
        <v>0</v>
      </c>
      <c r="T14" s="80">
        <f>_xlfn.COUNTIFS($C$24:$C$53,"=0",$E$24:$E$53,"=女",$N$24:$N$53,"=ふとりすぎ")</f>
        <v>0</v>
      </c>
      <c r="X14" s="2"/>
      <c r="Y14" s="2"/>
      <c r="Z14" s="2"/>
    </row>
    <row r="15" spans="1:26" ht="27.75" customHeight="1">
      <c r="A15" s="340" t="s">
        <v>80</v>
      </c>
      <c r="B15" s="341"/>
      <c r="C15" s="81" t="s">
        <v>81</v>
      </c>
      <c r="D15" s="67">
        <v>15</v>
      </c>
      <c r="E15" s="67" t="s">
        <v>82</v>
      </c>
      <c r="F15" s="340" t="s">
        <v>80</v>
      </c>
      <c r="G15" s="342"/>
      <c r="H15" s="82" t="s">
        <v>81</v>
      </c>
      <c r="I15" s="83">
        <f>_xlfn.COUNTIFS($C$24:$C$53,"=5",$E$24:$E$53,"=男",$N$24:$N$53,"=ややふとりすぎ")</f>
        <v>1</v>
      </c>
      <c r="J15" s="84">
        <f>_xlfn.COUNTIFS($C$24:$C$53,"=5",$E$24:$E$53,"=女",$N$24:$N$53,"=ややふとりすぎ")</f>
        <v>0</v>
      </c>
      <c r="K15" s="85">
        <f>_xlfn.COUNTIFS($C$24:$C$53,"=4",$E$24:$E$53,"=男",$N$24:$N$53,"=ややふとりすぎ")</f>
        <v>0</v>
      </c>
      <c r="L15" s="84">
        <f>_xlfn.COUNTIFS($C$24:$C$53,"=4",$E$24:$E$53,"=女",$N$24:$N$53,"=ややふとりすぎ")</f>
        <v>1</v>
      </c>
      <c r="M15" s="85">
        <f>_xlfn.COUNTIFS($C$24:$C$53,"=3",$E$24:$E$53,"=男",$N$24:$N$53,"=ややふとりすぎ")</f>
        <v>1</v>
      </c>
      <c r="N15" s="84">
        <f>_xlfn.COUNTIFS($C$24:$C$53,"=3",$E$24:$E$53,"=女",$N$24:$N$53,"=ややふとりすぎ")</f>
        <v>0</v>
      </c>
      <c r="O15" s="85">
        <f>_xlfn.COUNTIFS($C$24:$C$53,"=2",$E$24:$E$53,"=男",$N$24:$N$53,"=ややふとりすぎ")</f>
        <v>0</v>
      </c>
      <c r="P15" s="84">
        <f>_xlfn.COUNTIFS($C$24:$C$53,"=2",$E$24:$E$53,"=女",$N$24:$N$53,"=ややふとりすぎ")</f>
        <v>0</v>
      </c>
      <c r="Q15" s="85">
        <f>_xlfn.COUNTIFS($C$24:$C$53,"=1",$E$24:$E$53,"=男",$N$24:$N$53,"=ややふとりすぎ")</f>
        <v>0</v>
      </c>
      <c r="R15" s="84">
        <f>_xlfn.COUNTIFS($C$24:$C$53,"=1",$E$24:$E$53,"=女",$N$24:$N$53,"=ややふとりすぎ")</f>
        <v>0</v>
      </c>
      <c r="S15" s="85">
        <f>_xlfn.COUNTIFS($C$24:$C$53,"=0",$E$24:$E$53,"=男",$N$24:$N$53,"=ややふとりすぎ")</f>
        <v>0</v>
      </c>
      <c r="T15" s="86">
        <f>_xlfn.COUNTIFS($C$24:$C$53,"=0",$E$24:$E$53,"=女",$N$24:$N$53,"=ややふとりすぎ")</f>
        <v>0</v>
      </c>
      <c r="X15" s="2"/>
      <c r="Y15" s="2"/>
      <c r="Z15" s="2"/>
    </row>
    <row r="16" spans="1:26" ht="27.75" customHeight="1">
      <c r="A16" s="340" t="s">
        <v>83</v>
      </c>
      <c r="B16" s="341"/>
      <c r="C16" s="81" t="s">
        <v>82</v>
      </c>
      <c r="D16" s="67">
        <v>20</v>
      </c>
      <c r="E16" s="87" t="s">
        <v>84</v>
      </c>
      <c r="F16" s="340" t="s">
        <v>83</v>
      </c>
      <c r="G16" s="342"/>
      <c r="H16" s="82" t="s">
        <v>85</v>
      </c>
      <c r="I16" s="83">
        <f>_xlfn.COUNTIFS($C$24:$C$53,"=5",$E$24:$E$53,"=男",$N$24:$N$53,"=ふとりぎみ")</f>
        <v>0</v>
      </c>
      <c r="J16" s="84">
        <f>_xlfn.COUNTIFS($C$24:$C$53,"=5",$E$24:$E$53,"=女",$N$24:$N$53,"=ふとりぎみ")</f>
        <v>0</v>
      </c>
      <c r="K16" s="85">
        <f>_xlfn.COUNTIFS($C$24:$C$53,"=4",$E$24:$E$53,"=男",$N$24:$N$53,"=ふとりぎみ")</f>
        <v>0</v>
      </c>
      <c r="L16" s="84">
        <f>_xlfn.COUNTIFS($C$24:$C$53,"=4",$E$24:$E$53,"=女",$N$24:$N$53,"=ふとりぎみ")</f>
        <v>1</v>
      </c>
      <c r="M16" s="85">
        <f>_xlfn.COUNTIFS($C$24:$C$53,"=3",$E$24:$E$53,"=男",$N$24:$N$53,"=ふとりぎみ")</f>
        <v>1</v>
      </c>
      <c r="N16" s="84">
        <f>_xlfn.COUNTIFS($C$24:$C$53,"=3",$E$24:$E$53,"=女",$N$24:$N$53,"=ふとりぎみ")</f>
        <v>0</v>
      </c>
      <c r="O16" s="85">
        <f>_xlfn.COUNTIFS($C$24:$C$53,"=2",$E$24:$E$53,"=男",$N$24:$N$53,"=ふとりぎみ")</f>
        <v>0</v>
      </c>
      <c r="P16" s="84">
        <f>_xlfn.COUNTIFS($C$24:$C$53,"=2",$E$24:$E$53,"=女",$N$24:$N$53,"=ふとりぎみ")</f>
        <v>0</v>
      </c>
      <c r="Q16" s="85">
        <f>_xlfn.COUNTIFS($C$24:$C$53,"=1",$E$24:$E$53,"=男",$N$24:$N$53,"=ふとりぎみ")</f>
        <v>0</v>
      </c>
      <c r="R16" s="84">
        <f>_xlfn.COUNTIFS($C$24:$C$53,"=1",$E$24:$E$53,"=女",$N$24:$N$53,"=ふとりぎみ")</f>
        <v>0</v>
      </c>
      <c r="S16" s="85">
        <f>_xlfn.COUNTIFS($C$24:$C$53,"=0",$E$24:$E$53,"=男",$N$24:$N$53,"=ふとりぎみ")</f>
        <v>0</v>
      </c>
      <c r="T16" s="86">
        <f>_xlfn.COUNTIFS($C$24:$C$53,"=0",$E$24:$E$53,"=女",$N$24:$N$53,"=ふとりぎみ")</f>
        <v>0</v>
      </c>
      <c r="X16" s="2"/>
      <c r="Y16" s="2"/>
      <c r="Z16" s="2"/>
    </row>
    <row r="17" spans="1:26" ht="27.75" customHeight="1">
      <c r="A17" s="340" t="s">
        <v>86</v>
      </c>
      <c r="B17" s="341"/>
      <c r="C17" s="81" t="s">
        <v>87</v>
      </c>
      <c r="D17" s="67">
        <v>30</v>
      </c>
      <c r="E17" s="67" t="s">
        <v>77</v>
      </c>
      <c r="F17" s="340" t="s">
        <v>86</v>
      </c>
      <c r="G17" s="342"/>
      <c r="H17" s="82" t="s">
        <v>88</v>
      </c>
      <c r="I17" s="83">
        <f>_xlfn.COUNTIFS($C$24:$C$53,"=5",$E$24:$E$53,"=男",$N$24:$N$53,"=ふつう")</f>
        <v>1</v>
      </c>
      <c r="J17" s="84">
        <f>_xlfn.COUNTIFS($C$24:$C$53,"=5",$E$24:$E$53,"=女",$N$24:$N$53,"=ふつう")</f>
        <v>1</v>
      </c>
      <c r="K17" s="85">
        <f>_xlfn.COUNTIFS($C$24:$C$53,"=4",$E$24:$E$53,"=男",$N$24:$N$53,"=ふつう")</f>
        <v>1</v>
      </c>
      <c r="L17" s="84">
        <f>_xlfn.COUNTIFS($C$24:$C$53,"=4",$E$24:$E$53,"=女",$N$24:$N$53,"=ふつう")</f>
        <v>1</v>
      </c>
      <c r="M17" s="85">
        <f>_xlfn.COUNTIFS($C$24:$C$53,"=3",$E$24:$E$53,"=男",$N$24:$N$53,"=ふつう")</f>
        <v>0</v>
      </c>
      <c r="N17" s="84">
        <f>_xlfn.COUNTIFS($C$24:$C$53,"=3",$E$24:$E$53,"=女",$N$24:$N$53,"=ふつう")</f>
        <v>1</v>
      </c>
      <c r="O17" s="85">
        <f>_xlfn.COUNTIFS($C$24:$C$53,"=2",$E$24:$E$53,"=男",$N$24:$N$53,"=ふつう")</f>
        <v>3</v>
      </c>
      <c r="P17" s="84">
        <f>_xlfn.COUNTIFS($C$24:$C$53,"=2",$E$24:$E$53,"=女",$N$24:$N$53,"=ふつう")</f>
        <v>1</v>
      </c>
      <c r="Q17" s="85">
        <f>_xlfn.COUNTIFS($C$24:$C$53,"=1",$E$24:$E$53,"=男",$N$24:$N$53,"=ふつう")</f>
        <v>3</v>
      </c>
      <c r="R17" s="84">
        <f>_xlfn.COUNTIFS($C$24:$C$53,"=1",$E$24:$E$53,"=女",$N$24:$N$53,"=ふつう")</f>
        <v>2</v>
      </c>
      <c r="S17" s="85">
        <f>_xlfn.COUNTIFS($C$24:$C$53,"=0",$E$24:$E$53,"=男",$N$24:$N$53,"=ふつう")</f>
        <v>2</v>
      </c>
      <c r="T17" s="86">
        <f>_xlfn.COUNTIFS($C$24:$C$53,"=0",$E$24:$E$53,"=女",$N$24:$N$53,"=ふつう")</f>
        <v>0</v>
      </c>
      <c r="X17" s="2"/>
      <c r="Y17" s="2"/>
      <c r="Z17" s="2"/>
    </row>
    <row r="18" spans="1:26" ht="27.75" customHeight="1">
      <c r="A18" s="340" t="s">
        <v>89</v>
      </c>
      <c r="B18" s="341"/>
      <c r="C18" s="81" t="s">
        <v>90</v>
      </c>
      <c r="D18" s="2"/>
      <c r="F18" s="340" t="s">
        <v>89</v>
      </c>
      <c r="G18" s="342"/>
      <c r="H18" s="82" t="s">
        <v>90</v>
      </c>
      <c r="I18" s="83">
        <f>_xlfn.COUNTIFS($C$24:$C$53,"=5",$E$24:$E$53,"=男",$N$24:$N$53,"=やせ")</f>
        <v>0</v>
      </c>
      <c r="J18" s="84">
        <f>_xlfn.COUNTIFS($C$24:$C$53,"=5",$E$24:$E$53,"=女",$N$24:$N$53,"=やせ")</f>
        <v>1</v>
      </c>
      <c r="K18" s="85">
        <f>_xlfn.COUNTIFS($C$24:$C$53,"=4",$E$24:$E$53,"=男",$N$24:$N$53,"=やせ")</f>
        <v>1</v>
      </c>
      <c r="L18" s="84">
        <f>_xlfn.COUNTIFS($C$24:$C$53,"=4",$E$24:$E$53,"=女",$N$24:$N$53,"=やせ")</f>
        <v>0</v>
      </c>
      <c r="M18" s="85">
        <f>_xlfn.COUNTIFS($C$24:$C$53,"=3",$E$24:$E$53,"=男",$N$24:$N$53,"=やせ")</f>
        <v>0</v>
      </c>
      <c r="N18" s="84">
        <f>_xlfn.COUNTIFS($C$24:$C$53,"=3",$E$24:$E$53,"=女",$N$24:$N$53,"=やせ")</f>
        <v>1</v>
      </c>
      <c r="O18" s="85">
        <f>_xlfn.COUNTIFS($C$24:$C$53,"=2",$E$24:$E$53,"=男",$N$24:$N$53,"=やせ")</f>
        <v>0</v>
      </c>
      <c r="P18" s="84">
        <f>_xlfn.COUNTIFS($C$24:$C$53,"=2",$E$24:$E$53,"=女",$N$24:$N$53,"=やせ")</f>
        <v>0</v>
      </c>
      <c r="Q18" s="85">
        <f>_xlfn.COUNTIFS($C$24:$C$53,"=1",$E$24:$E$53,"=男",$N$24:$N$53,"=やせ")</f>
        <v>0</v>
      </c>
      <c r="R18" s="84">
        <f>_xlfn.COUNTIFS($C$24:$C$53,"=1",$E$24:$E$53,"=女",$N$24:$N$53,"=やせ")</f>
        <v>0</v>
      </c>
      <c r="S18" s="85">
        <f>_xlfn.COUNTIFS($C$24:$C$53,"=0",$E$24:$E$53,"=男",$N$24:$N$53,"=やせ")</f>
        <v>0</v>
      </c>
      <c r="T18" s="86">
        <f>_xlfn.COUNTIFS($C$24:$C$53,"=0",$E$24:$E$53,"=女",$N$24:$N$53,"=やせ")</f>
        <v>0</v>
      </c>
      <c r="X18" s="2"/>
      <c r="Y18" s="2"/>
      <c r="Z18" s="2"/>
    </row>
    <row r="19" spans="1:26" ht="27.75" customHeight="1" thickBot="1">
      <c r="A19" s="333" t="s">
        <v>91</v>
      </c>
      <c r="B19" s="334"/>
      <c r="C19" s="88" t="s">
        <v>92</v>
      </c>
      <c r="D19" s="2"/>
      <c r="F19" s="335" t="s">
        <v>91</v>
      </c>
      <c r="G19" s="336"/>
      <c r="H19" s="89" t="s">
        <v>93</v>
      </c>
      <c r="I19" s="83">
        <f>_xlfn.COUNTIFS($C$24:$C$53,"=5",$E$24:$E$53,"=男",$N$24:$N$53,"=やせすぎ")</f>
        <v>1</v>
      </c>
      <c r="J19" s="84">
        <f>_xlfn.COUNTIFS($C$24:$C$53,"=5",$E$24:$E$53,"=女",$N$24:$N$53,"=やせすぎ")</f>
        <v>0</v>
      </c>
      <c r="K19" s="85">
        <f>_xlfn.COUNTIFS($C$24:$C$53,"=4",$E$24:$E$53,"=男",$N$24:$N$53,"=やせすぎ")</f>
        <v>0</v>
      </c>
      <c r="L19" s="84">
        <f>_xlfn.COUNTIFS($C$24:$C$53,"=4",$E$24:$E$53,"=女",$N$24:$N$53,"=やせすぎ")</f>
        <v>1</v>
      </c>
      <c r="M19" s="85">
        <f>_xlfn.COUNTIFS($C$24:$C$53,"=3",$E$24:$E$53,"=男",$N$24:$N$53,"=やせすぎ")</f>
        <v>0</v>
      </c>
      <c r="N19" s="84">
        <f>_xlfn.COUNTIFS($C$24:$C$53,"=3",$E$24:$E$53,"=女",$N$24:$N$53,"=やせすぎ")</f>
        <v>0</v>
      </c>
      <c r="O19" s="85">
        <f>_xlfn.COUNTIFS($C$24:$C$53,"=2",$E$24:$E$53,"=男",$N$24:$N$53,"=やせすぎ")</f>
        <v>1</v>
      </c>
      <c r="P19" s="84">
        <f>_xlfn.COUNTIFS($C$24:$C$53,"=2",$E$24:$E$53,"=女",$N$24:$N$53,"=やせすぎ")</f>
        <v>1</v>
      </c>
      <c r="Q19" s="85">
        <f>_xlfn.COUNTIFS($C$24:$C$53,"=1",$E$24:$E$53,"=男",$N$24:$N$53,"=やせすぎ")</f>
        <v>0</v>
      </c>
      <c r="R19" s="84">
        <f>_xlfn.COUNTIFS($C$24:$C$53,"=1",$E$24:$E$53,"=女",$N$24:$N$53,"=やせすぎ")</f>
        <v>0</v>
      </c>
      <c r="S19" s="85">
        <f>_xlfn.COUNTIFS($C$24:$C$53,"=0",$E$24:$E$53,"=男",$N$24:$N$53,"=やせすぎ")</f>
        <v>0</v>
      </c>
      <c r="T19" s="86">
        <f>_xlfn.COUNTIFS($C$24:$C$53,"=0",$E$24:$E$53,"=女",$N$24:$N$53,"=やせすぎ")</f>
        <v>0</v>
      </c>
      <c r="X19" s="2"/>
      <c r="Y19" s="2"/>
      <c r="Z19" s="2"/>
    </row>
    <row r="20" spans="1:26" ht="27.75" customHeight="1" thickBot="1">
      <c r="A20" s="90"/>
      <c r="B20" s="90"/>
      <c r="C20" s="90"/>
      <c r="D20" s="2"/>
      <c r="F20" s="333" t="s">
        <v>94</v>
      </c>
      <c r="G20" s="337"/>
      <c r="H20" s="91" t="s">
        <v>95</v>
      </c>
      <c r="I20" s="92">
        <f>_xlfn.COUNTIFS($C$24:$C$53,"=5",$E$24:$E$53,"=男",$N$24:$N$53,"=測定不可")</f>
        <v>0</v>
      </c>
      <c r="J20" s="93">
        <f>_xlfn.COUNTIFS($C$24:$C$53,"=5",$E$24:$E$53,"=女",$N$24:$N$53,"=測定不可")</f>
        <v>0</v>
      </c>
      <c r="K20" s="94">
        <f>_xlfn.COUNTIFS($C$24:$C$53,"=4",$E$24:$E$53,"=男",$N$24:$N$53,"=測定不可")</f>
        <v>0</v>
      </c>
      <c r="L20" s="93">
        <f>_xlfn.COUNTIFS($C$24:$C$53,"=4",$E$24:$E$53,"=女",$N$24:$N$53,"=測定不可")</f>
        <v>0</v>
      </c>
      <c r="M20" s="94">
        <f>_xlfn.COUNTIFS($C$24:$C$53,"=3",$E$24:$E$53,"=男",$N$24:$N$53,"=測定不可")</f>
        <v>0</v>
      </c>
      <c r="N20" s="93">
        <f>_xlfn.COUNTIFS($C$24:$C$53,"=3",$E$24:$E$53,"=女",$N$24:$N$53,"=測定不可")</f>
        <v>0</v>
      </c>
      <c r="O20" s="94">
        <f>_xlfn.COUNTIFS($C$24:$C$53,"=2",$E$24:$E$53,"=男",$N$24:$N$53,"=測定不可")</f>
        <v>0</v>
      </c>
      <c r="P20" s="93">
        <f>_xlfn.COUNTIFS($C$24:$C$53,"=2",$E$24:$E$53,"=女",$N$24:$N$53,"=測定不可")</f>
        <v>0</v>
      </c>
      <c r="Q20" s="94">
        <f>_xlfn.COUNTIFS($C$24:$C$53,"=1",$E$24:$E$53,"=男",$N$24:$N$53,"=測定不可")</f>
        <v>0</v>
      </c>
      <c r="R20" s="93">
        <f>_xlfn.COUNTIFS($C$24:$C$53,"=1",$E$24:$E$53,"=女",$N$24:$N$53,"=測定不可")</f>
        <v>0</v>
      </c>
      <c r="S20" s="94">
        <f>_xlfn.COUNTIFS($C$24:$C$53,"=0",$E$24:$E$53,"=男",$N$24:$N$53,"=測定不可")</f>
        <v>1</v>
      </c>
      <c r="T20" s="95">
        <f>_xlfn.COUNTIFS($C$24:$C$53,"=0",$E$24:$E$53,"=女",$N$24:$N$53,"=測定不可")</f>
        <v>1</v>
      </c>
      <c r="X20" s="2"/>
      <c r="Y20" s="2"/>
      <c r="Z20" s="2"/>
    </row>
    <row r="21" spans="1:26" ht="27.75" customHeight="1" thickBot="1">
      <c r="A21" s="90"/>
      <c r="B21" s="90"/>
      <c r="C21" s="90"/>
      <c r="D21" s="2"/>
      <c r="F21" s="338" t="s">
        <v>96</v>
      </c>
      <c r="G21" s="339"/>
      <c r="H21" s="339"/>
      <c r="I21" s="96">
        <f>SUM(I14:I20)</f>
        <v>3</v>
      </c>
      <c r="J21" s="97">
        <f aca="true" t="shared" si="0" ref="J21:T21">SUM(J14:J20)</f>
        <v>2</v>
      </c>
      <c r="K21" s="98">
        <f t="shared" si="0"/>
        <v>2</v>
      </c>
      <c r="L21" s="97">
        <f t="shared" si="0"/>
        <v>4</v>
      </c>
      <c r="M21" s="98">
        <f t="shared" si="0"/>
        <v>2</v>
      </c>
      <c r="N21" s="97">
        <f t="shared" si="0"/>
        <v>2</v>
      </c>
      <c r="O21" s="98">
        <f t="shared" si="0"/>
        <v>4</v>
      </c>
      <c r="P21" s="97">
        <f>SUM(P14:P20)</f>
        <v>2</v>
      </c>
      <c r="Q21" s="98">
        <f t="shared" si="0"/>
        <v>3</v>
      </c>
      <c r="R21" s="97">
        <f t="shared" si="0"/>
        <v>2</v>
      </c>
      <c r="S21" s="98">
        <f t="shared" si="0"/>
        <v>3</v>
      </c>
      <c r="T21" s="99">
        <f t="shared" si="0"/>
        <v>1</v>
      </c>
      <c r="X21" s="2"/>
      <c r="Y21" s="2"/>
      <c r="Z21" s="2"/>
    </row>
    <row r="22" spans="1:16" ht="27.75" customHeight="1" thickBot="1">
      <c r="A22" s="101" t="s">
        <v>170</v>
      </c>
      <c r="B22" s="101"/>
      <c r="C22" s="332"/>
      <c r="D22" s="332"/>
      <c r="E22" s="332"/>
      <c r="F22" s="101"/>
      <c r="J22" s="90"/>
      <c r="K22" s="90"/>
      <c r="L22" s="100"/>
      <c r="M22" s="100"/>
      <c r="N22" s="100"/>
      <c r="O22" s="100"/>
      <c r="P22" s="100"/>
    </row>
    <row r="23" spans="1:20" ht="48" customHeight="1" thickBot="1">
      <c r="A23" s="140" t="s">
        <v>125</v>
      </c>
      <c r="B23" s="141" t="s">
        <v>55</v>
      </c>
      <c r="C23" s="141" t="s">
        <v>97</v>
      </c>
      <c r="D23" s="141" t="s">
        <v>56</v>
      </c>
      <c r="E23" s="142" t="s">
        <v>126</v>
      </c>
      <c r="F23" s="142" t="s">
        <v>127</v>
      </c>
      <c r="G23" s="142" t="s">
        <v>128</v>
      </c>
      <c r="H23" s="141" t="s">
        <v>129</v>
      </c>
      <c r="I23" s="143" t="s">
        <v>130</v>
      </c>
      <c r="J23" s="140" t="s">
        <v>131</v>
      </c>
      <c r="K23" s="141" t="s">
        <v>98</v>
      </c>
      <c r="L23" s="142" t="s">
        <v>172</v>
      </c>
      <c r="M23" s="142" t="s">
        <v>132</v>
      </c>
      <c r="N23" s="144" t="s">
        <v>99</v>
      </c>
      <c r="O23" s="142" t="s">
        <v>100</v>
      </c>
      <c r="P23" s="142" t="s">
        <v>101</v>
      </c>
      <c r="Q23" s="142" t="s">
        <v>102</v>
      </c>
      <c r="R23" s="142" t="s">
        <v>103</v>
      </c>
      <c r="S23" s="142" t="s">
        <v>173</v>
      </c>
      <c r="T23" s="145" t="s">
        <v>174</v>
      </c>
    </row>
    <row r="24" spans="1:26" s="108" customFormat="1" ht="27.75" customHeight="1" thickTop="1">
      <c r="A24" s="152">
        <v>1</v>
      </c>
      <c r="B24" s="153" t="s">
        <v>104</v>
      </c>
      <c r="C24" s="153">
        <v>5</v>
      </c>
      <c r="D24" s="153" t="s">
        <v>105</v>
      </c>
      <c r="E24" s="154" t="s">
        <v>74</v>
      </c>
      <c r="F24" s="155">
        <v>39573</v>
      </c>
      <c r="G24" s="155">
        <v>41754</v>
      </c>
      <c r="H24" s="153">
        <v>113.3</v>
      </c>
      <c r="I24" s="156">
        <v>20.5</v>
      </c>
      <c r="J24" s="157">
        <f aca="true" t="shared" si="1" ref="J24:J53">IF(OR(F24="",G24=""),"",DATEDIF(F24,G24,"Y"))</f>
        <v>5</v>
      </c>
      <c r="K24" s="158" t="str">
        <f>IF(OR(J24=""),"",IF(J24&gt;=3,"以上児","未満児"))</f>
        <v>以上児</v>
      </c>
      <c r="L24" s="159">
        <f aca="true" t="shared" si="2" ref="L24:L53">IF(OR(J24=""),"",IF(E24="男",0.00206*H24*H24-0.1166*H24+6.5273,0.00249*H24*H24-0.1858*H24+9.036))</f>
        <v>19.7605134</v>
      </c>
      <c r="M24" s="160">
        <f aca="true" t="shared" si="3" ref="M24:M53">IF(OR(J24=""),"",IF(H24&gt;=70,(I24-L24)/L24*100,"測定不可"))</f>
        <v>3.7422438629555006</v>
      </c>
      <c r="N24" s="161" t="str">
        <f>IF(OR(J24=""),"",IF(M24="測定不可","測定不可",VLOOKUP(M24,$D$12:$E$17,2,TRUE)))</f>
        <v>ふつう</v>
      </c>
      <c r="O24" s="162">
        <f aca="true" t="shared" si="4" ref="O24:O53">IF(OR(J24=""),"",IF(AND(E24="男",J24&lt;=2),61,IF(AND(E24="男",J24&gt;=3),54.8,IF(AND(E24="女",J24&lt;=2),59.7,52.2))))</f>
        <v>54.8</v>
      </c>
      <c r="P24" s="163">
        <f>IF(OR(J24=""),"",L24*O24)</f>
        <v>1082.87613432</v>
      </c>
      <c r="Q24" s="164">
        <f>IF(OR(J24=""),"",IF(J24&gt;=3,1.45,1.35))</f>
        <v>1.45</v>
      </c>
      <c r="R24" s="181">
        <f aca="true" t="shared" si="5" ref="R24:R53">IF(OR(J24=""),"",IF(AND(E24="男",J24&lt;=2),20,IF(AND(E24="女",J24&lt;=2),15,10)))</f>
        <v>10</v>
      </c>
      <c r="S24" s="163">
        <f>IF(OR(J24=""),"",P24*Q24+R24)</f>
        <v>1580.1703947639999</v>
      </c>
      <c r="T24" s="185">
        <f>IF(OR(J24=""),"",CEILING(S24,50))</f>
        <v>1600</v>
      </c>
      <c r="U24" s="107"/>
      <c r="V24" s="121"/>
      <c r="W24" s="123"/>
      <c r="X24" s="107"/>
      <c r="Y24" s="107"/>
      <c r="Z24" s="107"/>
    </row>
    <row r="25" spans="1:26" s="108" customFormat="1" ht="27.75" customHeight="1">
      <c r="A25" s="165">
        <v>2</v>
      </c>
      <c r="B25" s="103" t="s">
        <v>106</v>
      </c>
      <c r="C25" s="103">
        <v>5</v>
      </c>
      <c r="D25" s="103" t="s">
        <v>105</v>
      </c>
      <c r="E25" s="104" t="s">
        <v>74</v>
      </c>
      <c r="F25" s="105">
        <v>39605</v>
      </c>
      <c r="G25" s="105">
        <v>41754</v>
      </c>
      <c r="H25" s="109">
        <v>112.1</v>
      </c>
      <c r="I25" s="110">
        <v>25.1</v>
      </c>
      <c r="J25" s="111">
        <f t="shared" si="1"/>
        <v>5</v>
      </c>
      <c r="K25" s="112" t="str">
        <f>IF(OR(J25=""),"",IF(J25&gt;=3,"以上児","未満児"))</f>
        <v>以上児</v>
      </c>
      <c r="L25" s="124">
        <f t="shared" si="2"/>
        <v>19.343244600000006</v>
      </c>
      <c r="M25" s="113">
        <f t="shared" si="3"/>
        <v>29.761063973724422</v>
      </c>
      <c r="N25" s="114" t="str">
        <f>IF(OR(J25=""),"",IF(M25="測定不可","測定不可",VLOOKUP(M25,$D$12:$E$17,2,TRUE)))</f>
        <v>ややふとりすぎ</v>
      </c>
      <c r="O25" s="115">
        <f t="shared" si="4"/>
        <v>54.8</v>
      </c>
      <c r="P25" s="116">
        <f>IF(OR(J25=""),"",L25*O25)</f>
        <v>1060.0098040800003</v>
      </c>
      <c r="Q25" s="117">
        <f>IF(OR(J25=""),"",IF(J25&gt;=3,1.45,1.35))</f>
        <v>1.45</v>
      </c>
      <c r="R25" s="182">
        <f t="shared" si="5"/>
        <v>10</v>
      </c>
      <c r="S25" s="116">
        <f>IF(OR(J25=""),"",P25*Q25+R25)</f>
        <v>1547.0142159160005</v>
      </c>
      <c r="T25" s="186">
        <f>IF(OR(J25=""),"",CEILING(S25,50))</f>
        <v>1550</v>
      </c>
      <c r="U25" s="107"/>
      <c r="V25" s="107"/>
      <c r="W25" s="107"/>
      <c r="X25" s="107"/>
      <c r="Y25" s="107"/>
      <c r="Z25" s="107"/>
    </row>
    <row r="26" spans="1:26" s="108" customFormat="1" ht="27.75" customHeight="1">
      <c r="A26" s="165">
        <v>3</v>
      </c>
      <c r="B26" s="103" t="s">
        <v>106</v>
      </c>
      <c r="C26" s="103">
        <v>5</v>
      </c>
      <c r="D26" s="109" t="s">
        <v>105</v>
      </c>
      <c r="E26" s="120" t="s">
        <v>75</v>
      </c>
      <c r="F26" s="105">
        <v>39728</v>
      </c>
      <c r="G26" s="105">
        <v>41754</v>
      </c>
      <c r="H26" s="109">
        <v>108.8</v>
      </c>
      <c r="I26" s="110">
        <v>18.6</v>
      </c>
      <c r="J26" s="111">
        <f t="shared" si="1"/>
        <v>5</v>
      </c>
      <c r="K26" s="112" t="str">
        <f aca="true" t="shared" si="6" ref="K26:K53">IF(OR(J26=""),"",IF(J26&gt;=3,"以上児","未満児"))</f>
        <v>以上児</v>
      </c>
      <c r="L26" s="124">
        <f t="shared" si="2"/>
        <v>18.2961856</v>
      </c>
      <c r="M26" s="113">
        <f t="shared" si="3"/>
        <v>1.6605340951504135</v>
      </c>
      <c r="N26" s="114" t="str">
        <f aca="true" t="shared" si="7" ref="N26:N53">IF(OR(J26=""),"",IF(M26="測定不可","測定不可",VLOOKUP(M26,$D$12:$E$17,2,TRUE)))</f>
        <v>ふつう</v>
      </c>
      <c r="O26" s="115">
        <f>IF(OR(J26=""),"",IF(AND(E26="男",J26&lt;=2),61,IF(AND(E26="男",J26&gt;=3),54.8,IF(AND(E26="女",J26&lt;=2),59.7,52.2))))</f>
        <v>52.2</v>
      </c>
      <c r="P26" s="116">
        <f aca="true" t="shared" si="8" ref="P26:P53">IF(OR(J26=""),"",L26*O26)</f>
        <v>955.0608883200001</v>
      </c>
      <c r="Q26" s="117">
        <f aca="true" t="shared" si="9" ref="Q26:Q53">IF(OR(J26=""),"",IF(J26&gt;=3,1.45,1.35))</f>
        <v>1.45</v>
      </c>
      <c r="R26" s="182">
        <f t="shared" si="5"/>
        <v>10</v>
      </c>
      <c r="S26" s="116">
        <f aca="true" t="shared" si="10" ref="S26:S53">IF(OR(J26=""),"",P26*Q26+R26)</f>
        <v>1394.8382880640002</v>
      </c>
      <c r="T26" s="186">
        <f aca="true" t="shared" si="11" ref="T26:T53">IF(OR(J26=""),"",CEILING(S26,50))</f>
        <v>1400</v>
      </c>
      <c r="U26" s="107"/>
      <c r="V26" s="107"/>
      <c r="W26" s="107"/>
      <c r="X26" s="107"/>
      <c r="Y26" s="107"/>
      <c r="Z26" s="107"/>
    </row>
    <row r="27" spans="1:26" s="108" customFormat="1" ht="27.75" customHeight="1">
      <c r="A27" s="165">
        <v>4</v>
      </c>
      <c r="B27" s="103" t="s">
        <v>106</v>
      </c>
      <c r="C27" s="103">
        <v>5</v>
      </c>
      <c r="D27" s="109" t="s">
        <v>105</v>
      </c>
      <c r="E27" s="104" t="s">
        <v>74</v>
      </c>
      <c r="F27" s="105">
        <v>39790</v>
      </c>
      <c r="G27" s="105">
        <v>41754</v>
      </c>
      <c r="H27" s="109">
        <v>111.6</v>
      </c>
      <c r="I27" s="110">
        <v>15.1</v>
      </c>
      <c r="J27" s="111">
        <f>IF(OR(F27="",G27=""),"",DATEDIF(F27,G27,"Y"))</f>
        <v>5</v>
      </c>
      <c r="K27" s="112" t="str">
        <f>IF(OR(J27=""),"",IF(J27&gt;=3,"以上児","未満児"))</f>
        <v>以上児</v>
      </c>
      <c r="L27" s="124">
        <f>IF(OR(J27=""),"",IF(E27="男",0.00206*H27*H27-0.1166*H27+6.5273,0.00249*H27*H27-0.1858*H27+9.036))</f>
        <v>19.171133600000005</v>
      </c>
      <c r="M27" s="113">
        <f>IF(OR(J27=""),"",IF(H27&gt;=70,(I27-L27)/L27*100,"測定不可"))</f>
        <v>-21.235747895471366</v>
      </c>
      <c r="N27" s="114" t="str">
        <f>IF(OR(J27=""),"",IF(M27="測定不可","測定不可",VLOOKUP(M27,$D$12:$E$17,2,TRUE)))</f>
        <v>やせすぎ</v>
      </c>
      <c r="O27" s="115">
        <f>IF(OR(J27=""),"",IF(AND(E27="男",J27&lt;=2),61,IF(AND(E27="男",J27&gt;=3),54.8,IF(AND(E27="女",J27&lt;=2),59.7,52.2))))</f>
        <v>54.8</v>
      </c>
      <c r="P27" s="116">
        <f>IF(OR(J27=""),"",L27*O27)</f>
        <v>1050.5781212800002</v>
      </c>
      <c r="Q27" s="117">
        <f>IF(OR(J27=""),"",IF(J27&gt;=3,1.45,1.35))</f>
        <v>1.45</v>
      </c>
      <c r="R27" s="182">
        <f>IF(OR(J27=""),"",IF(AND(E27="男",J27&lt;=2),20,IF(AND(E27="女",J27&lt;=2),15,10)))</f>
        <v>10</v>
      </c>
      <c r="S27" s="116">
        <f>IF(OR(J27=""),"",P27*Q27+R27)</f>
        <v>1533.3382758560003</v>
      </c>
      <c r="T27" s="186">
        <f>IF(OR(J27=""),"",CEILING(S27,50))</f>
        <v>1550</v>
      </c>
      <c r="U27" s="107"/>
      <c r="V27" s="107"/>
      <c r="W27" s="107"/>
      <c r="X27" s="107"/>
      <c r="Y27" s="107"/>
      <c r="Z27" s="107"/>
    </row>
    <row r="28" spans="1:26" s="108" customFormat="1" ht="27.75" customHeight="1">
      <c r="A28" s="165">
        <v>5</v>
      </c>
      <c r="B28" s="103" t="s">
        <v>106</v>
      </c>
      <c r="C28" s="103">
        <v>5</v>
      </c>
      <c r="D28" s="109" t="s">
        <v>105</v>
      </c>
      <c r="E28" s="104" t="s">
        <v>75</v>
      </c>
      <c r="F28" s="105">
        <v>39881</v>
      </c>
      <c r="G28" s="105">
        <v>41754</v>
      </c>
      <c r="H28" s="109">
        <v>106.5</v>
      </c>
      <c r="I28" s="110">
        <v>14</v>
      </c>
      <c r="J28" s="111">
        <f t="shared" si="1"/>
        <v>5</v>
      </c>
      <c r="K28" s="112" t="str">
        <f t="shared" si="6"/>
        <v>以上児</v>
      </c>
      <c r="L28" s="124">
        <f t="shared" si="2"/>
        <v>17.490502499999998</v>
      </c>
      <c r="M28" s="113">
        <f t="shared" si="3"/>
        <v>-19.9565592812442</v>
      </c>
      <c r="N28" s="114" t="str">
        <f t="shared" si="7"/>
        <v>やせ</v>
      </c>
      <c r="O28" s="115">
        <f t="shared" si="4"/>
        <v>52.2</v>
      </c>
      <c r="P28" s="116">
        <f t="shared" si="8"/>
        <v>913.0042305</v>
      </c>
      <c r="Q28" s="117">
        <f t="shared" si="9"/>
        <v>1.45</v>
      </c>
      <c r="R28" s="182">
        <f t="shared" si="5"/>
        <v>10</v>
      </c>
      <c r="S28" s="116">
        <f t="shared" si="10"/>
        <v>1333.8561342249998</v>
      </c>
      <c r="T28" s="186">
        <f t="shared" si="11"/>
        <v>1350</v>
      </c>
      <c r="U28" s="107"/>
      <c r="V28" s="107"/>
      <c r="W28" s="107"/>
      <c r="X28" s="107"/>
      <c r="Y28" s="107"/>
      <c r="Z28" s="107"/>
    </row>
    <row r="29" spans="1:26" s="108" customFormat="1" ht="27.75" customHeight="1">
      <c r="A29" s="165">
        <v>6</v>
      </c>
      <c r="B29" s="103" t="s">
        <v>107</v>
      </c>
      <c r="C29" s="103">
        <v>4</v>
      </c>
      <c r="D29" s="109" t="s">
        <v>105</v>
      </c>
      <c r="E29" s="120" t="s">
        <v>75</v>
      </c>
      <c r="F29" s="105">
        <v>39913</v>
      </c>
      <c r="G29" s="105">
        <v>41746</v>
      </c>
      <c r="H29" s="103">
        <v>109.2</v>
      </c>
      <c r="I29" s="106">
        <v>22.1</v>
      </c>
      <c r="J29" s="111">
        <f t="shared" si="1"/>
        <v>5</v>
      </c>
      <c r="K29" s="112" t="str">
        <f t="shared" si="6"/>
        <v>以上児</v>
      </c>
      <c r="L29" s="124">
        <f t="shared" si="2"/>
        <v>18.438993600000003</v>
      </c>
      <c r="M29" s="113">
        <f t="shared" si="3"/>
        <v>19.854697492817596</v>
      </c>
      <c r="N29" s="114" t="str">
        <f t="shared" si="7"/>
        <v>ふとりぎみ</v>
      </c>
      <c r="O29" s="115">
        <f t="shared" si="4"/>
        <v>52.2</v>
      </c>
      <c r="P29" s="116">
        <f t="shared" si="8"/>
        <v>962.5154659200002</v>
      </c>
      <c r="Q29" s="117">
        <f t="shared" si="9"/>
        <v>1.45</v>
      </c>
      <c r="R29" s="182">
        <f t="shared" si="5"/>
        <v>10</v>
      </c>
      <c r="S29" s="116">
        <f t="shared" si="10"/>
        <v>1405.6474255840003</v>
      </c>
      <c r="T29" s="186">
        <f t="shared" si="11"/>
        <v>1450</v>
      </c>
      <c r="U29" s="107"/>
      <c r="V29" s="107"/>
      <c r="W29" s="107"/>
      <c r="X29" s="107"/>
      <c r="Y29" s="107"/>
      <c r="Z29" s="107"/>
    </row>
    <row r="30" spans="1:26" s="108" customFormat="1" ht="27.75" customHeight="1">
      <c r="A30" s="165">
        <v>7</v>
      </c>
      <c r="B30" s="103" t="s">
        <v>108</v>
      </c>
      <c r="C30" s="103">
        <v>4</v>
      </c>
      <c r="D30" s="109" t="s">
        <v>105</v>
      </c>
      <c r="E30" s="104" t="s">
        <v>75</v>
      </c>
      <c r="F30" s="105">
        <v>39914</v>
      </c>
      <c r="G30" s="105">
        <v>41746</v>
      </c>
      <c r="H30" s="103">
        <v>106.7</v>
      </c>
      <c r="I30" s="106">
        <v>19.9</v>
      </c>
      <c r="J30" s="111">
        <f t="shared" si="1"/>
        <v>5</v>
      </c>
      <c r="K30" s="112" t="str">
        <f t="shared" si="6"/>
        <v>以上児</v>
      </c>
      <c r="L30" s="124">
        <f t="shared" si="2"/>
        <v>17.559516099999996</v>
      </c>
      <c r="M30" s="113">
        <f t="shared" si="3"/>
        <v>13.32886331645553</v>
      </c>
      <c r="N30" s="114" t="str">
        <f t="shared" si="7"/>
        <v>ふつう</v>
      </c>
      <c r="O30" s="115">
        <f t="shared" si="4"/>
        <v>52.2</v>
      </c>
      <c r="P30" s="116">
        <f t="shared" si="8"/>
        <v>916.6067404199998</v>
      </c>
      <c r="Q30" s="117">
        <f t="shared" si="9"/>
        <v>1.45</v>
      </c>
      <c r="R30" s="182">
        <f t="shared" si="5"/>
        <v>10</v>
      </c>
      <c r="S30" s="116">
        <f t="shared" si="10"/>
        <v>1339.0797736089996</v>
      </c>
      <c r="T30" s="186">
        <f t="shared" si="11"/>
        <v>1350</v>
      </c>
      <c r="U30" s="107"/>
      <c r="V30" s="107"/>
      <c r="W30" s="107"/>
      <c r="X30" s="107"/>
      <c r="Y30" s="107"/>
      <c r="Z30" s="107"/>
    </row>
    <row r="31" spans="1:26" s="108" customFormat="1" ht="27.75" customHeight="1">
      <c r="A31" s="165">
        <v>8</v>
      </c>
      <c r="B31" s="103" t="s">
        <v>108</v>
      </c>
      <c r="C31" s="103">
        <v>4</v>
      </c>
      <c r="D31" s="109" t="s">
        <v>105</v>
      </c>
      <c r="E31" s="104" t="s">
        <v>74</v>
      </c>
      <c r="F31" s="105">
        <v>40037</v>
      </c>
      <c r="G31" s="105">
        <v>41746</v>
      </c>
      <c r="H31" s="103">
        <v>110.1</v>
      </c>
      <c r="I31" s="106">
        <v>15.5</v>
      </c>
      <c r="J31" s="111">
        <f t="shared" si="1"/>
        <v>4</v>
      </c>
      <c r="K31" s="112" t="str">
        <f t="shared" si="6"/>
        <v>以上児</v>
      </c>
      <c r="L31" s="124">
        <f t="shared" si="2"/>
        <v>18.6609806</v>
      </c>
      <c r="M31" s="113">
        <f t="shared" si="3"/>
        <v>-16.938984439006376</v>
      </c>
      <c r="N31" s="114" t="str">
        <f t="shared" si="7"/>
        <v>やせ</v>
      </c>
      <c r="O31" s="115">
        <f t="shared" si="4"/>
        <v>54.8</v>
      </c>
      <c r="P31" s="116">
        <f t="shared" si="8"/>
        <v>1022.6217368799998</v>
      </c>
      <c r="Q31" s="117">
        <f t="shared" si="9"/>
        <v>1.45</v>
      </c>
      <c r="R31" s="182">
        <f t="shared" si="5"/>
        <v>10</v>
      </c>
      <c r="S31" s="116">
        <f t="shared" si="10"/>
        <v>1492.8015184759997</v>
      </c>
      <c r="T31" s="186">
        <f t="shared" si="11"/>
        <v>1500</v>
      </c>
      <c r="U31" s="107"/>
      <c r="V31" s="107"/>
      <c r="W31" s="107"/>
      <c r="X31" s="107"/>
      <c r="Y31" s="107"/>
      <c r="Z31" s="107"/>
    </row>
    <row r="32" spans="1:26" s="108" customFormat="1" ht="27.75" customHeight="1">
      <c r="A32" s="165">
        <v>9</v>
      </c>
      <c r="B32" s="103" t="s">
        <v>108</v>
      </c>
      <c r="C32" s="103">
        <v>4</v>
      </c>
      <c r="D32" s="109" t="s">
        <v>105</v>
      </c>
      <c r="E32" s="120" t="s">
        <v>74</v>
      </c>
      <c r="F32" s="105">
        <v>40160</v>
      </c>
      <c r="G32" s="105">
        <v>41746</v>
      </c>
      <c r="H32" s="103">
        <v>106.9</v>
      </c>
      <c r="I32" s="106">
        <v>16.9</v>
      </c>
      <c r="J32" s="111">
        <f t="shared" si="1"/>
        <v>4</v>
      </c>
      <c r="K32" s="112" t="str">
        <f t="shared" si="6"/>
        <v>以上児</v>
      </c>
      <c r="L32" s="124">
        <f t="shared" si="2"/>
        <v>17.603636600000005</v>
      </c>
      <c r="M32" s="113">
        <f t="shared" si="3"/>
        <v>-3.997109324558576</v>
      </c>
      <c r="N32" s="114" t="str">
        <f t="shared" si="7"/>
        <v>ふつう</v>
      </c>
      <c r="O32" s="115">
        <f t="shared" si="4"/>
        <v>54.8</v>
      </c>
      <c r="P32" s="116">
        <f t="shared" si="8"/>
        <v>964.6792856800002</v>
      </c>
      <c r="Q32" s="117">
        <f t="shared" si="9"/>
        <v>1.45</v>
      </c>
      <c r="R32" s="182">
        <f t="shared" si="5"/>
        <v>10</v>
      </c>
      <c r="S32" s="116">
        <f t="shared" si="10"/>
        <v>1408.7849642360004</v>
      </c>
      <c r="T32" s="186">
        <f t="shared" si="11"/>
        <v>1450</v>
      </c>
      <c r="U32" s="107"/>
      <c r="V32" s="107"/>
      <c r="W32" s="107"/>
      <c r="X32" s="107"/>
      <c r="Y32" s="107"/>
      <c r="Z32" s="107"/>
    </row>
    <row r="33" spans="1:26" s="108" customFormat="1" ht="27.75" customHeight="1">
      <c r="A33" s="165">
        <v>10</v>
      </c>
      <c r="B33" s="103" t="s">
        <v>108</v>
      </c>
      <c r="C33" s="103">
        <v>4</v>
      </c>
      <c r="D33" s="109" t="s">
        <v>105</v>
      </c>
      <c r="E33" s="104" t="s">
        <v>75</v>
      </c>
      <c r="F33" s="105">
        <v>40192</v>
      </c>
      <c r="G33" s="105">
        <v>41746</v>
      </c>
      <c r="H33" s="103">
        <v>101</v>
      </c>
      <c r="I33" s="106">
        <v>20</v>
      </c>
      <c r="J33" s="111">
        <f t="shared" si="1"/>
        <v>4</v>
      </c>
      <c r="K33" s="112" t="str">
        <f t="shared" si="6"/>
        <v>以上児</v>
      </c>
      <c r="L33" s="124">
        <f t="shared" si="2"/>
        <v>15.670689999999999</v>
      </c>
      <c r="M33" s="113">
        <f t="shared" si="3"/>
        <v>27.626798819962627</v>
      </c>
      <c r="N33" s="114" t="str">
        <f t="shared" si="7"/>
        <v>ややふとりすぎ</v>
      </c>
      <c r="O33" s="115">
        <f t="shared" si="4"/>
        <v>52.2</v>
      </c>
      <c r="P33" s="116">
        <f t="shared" si="8"/>
        <v>818.010018</v>
      </c>
      <c r="Q33" s="117">
        <f t="shared" si="9"/>
        <v>1.45</v>
      </c>
      <c r="R33" s="182">
        <f t="shared" si="5"/>
        <v>10</v>
      </c>
      <c r="S33" s="116">
        <f t="shared" si="10"/>
        <v>1196.1145261</v>
      </c>
      <c r="T33" s="186">
        <f t="shared" si="11"/>
        <v>1200</v>
      </c>
      <c r="U33" s="107"/>
      <c r="V33" s="107"/>
      <c r="W33" s="107"/>
      <c r="X33" s="107"/>
      <c r="Y33" s="107"/>
      <c r="Z33" s="107"/>
    </row>
    <row r="34" spans="1:26" s="108" customFormat="1" ht="27.75" customHeight="1">
      <c r="A34" s="165">
        <v>11</v>
      </c>
      <c r="B34" s="103" t="s">
        <v>108</v>
      </c>
      <c r="C34" s="103">
        <v>4</v>
      </c>
      <c r="D34" s="109" t="s">
        <v>105</v>
      </c>
      <c r="E34" s="104" t="s">
        <v>75</v>
      </c>
      <c r="F34" s="105">
        <v>40224</v>
      </c>
      <c r="G34" s="105">
        <v>41746</v>
      </c>
      <c r="H34" s="103">
        <v>106</v>
      </c>
      <c r="I34" s="106">
        <v>13.8</v>
      </c>
      <c r="J34" s="111">
        <f t="shared" si="1"/>
        <v>4</v>
      </c>
      <c r="K34" s="112" t="str">
        <f t="shared" si="6"/>
        <v>以上児</v>
      </c>
      <c r="L34" s="124">
        <f t="shared" si="2"/>
        <v>17.31884</v>
      </c>
      <c r="M34" s="113">
        <f t="shared" si="3"/>
        <v>-20.31798896461888</v>
      </c>
      <c r="N34" s="114" t="str">
        <f t="shared" si="7"/>
        <v>やせすぎ</v>
      </c>
      <c r="O34" s="115">
        <f t="shared" si="4"/>
        <v>52.2</v>
      </c>
      <c r="P34" s="116">
        <f t="shared" si="8"/>
        <v>904.0434480000001</v>
      </c>
      <c r="Q34" s="117">
        <f t="shared" si="9"/>
        <v>1.45</v>
      </c>
      <c r="R34" s="182">
        <f t="shared" si="5"/>
        <v>10</v>
      </c>
      <c r="S34" s="116">
        <f t="shared" si="10"/>
        <v>1320.8629996000002</v>
      </c>
      <c r="T34" s="186">
        <f t="shared" si="11"/>
        <v>1350</v>
      </c>
      <c r="U34" s="107"/>
      <c r="V34" s="107"/>
      <c r="W34" s="107"/>
      <c r="X34" s="107"/>
      <c r="Y34" s="107"/>
      <c r="Z34" s="107"/>
    </row>
    <row r="35" spans="1:26" s="108" customFormat="1" ht="27.75" customHeight="1">
      <c r="A35" s="165">
        <v>12</v>
      </c>
      <c r="B35" s="103" t="s">
        <v>109</v>
      </c>
      <c r="C35" s="103">
        <v>3</v>
      </c>
      <c r="D35" s="109" t="s">
        <v>105</v>
      </c>
      <c r="E35" s="104" t="s">
        <v>74</v>
      </c>
      <c r="F35" s="105">
        <v>40288</v>
      </c>
      <c r="G35" s="105">
        <v>41749</v>
      </c>
      <c r="H35" s="103">
        <v>100.5</v>
      </c>
      <c r="I35" s="106">
        <v>18</v>
      </c>
      <c r="J35" s="111">
        <f t="shared" si="1"/>
        <v>4</v>
      </c>
      <c r="K35" s="112" t="str">
        <f t="shared" si="6"/>
        <v>以上児</v>
      </c>
      <c r="L35" s="124">
        <f t="shared" si="2"/>
        <v>15.615515000000002</v>
      </c>
      <c r="M35" s="113">
        <f t="shared" si="3"/>
        <v>15.269973484704138</v>
      </c>
      <c r="N35" s="114" t="str">
        <f t="shared" si="7"/>
        <v>ふとりぎみ</v>
      </c>
      <c r="O35" s="115">
        <f t="shared" si="4"/>
        <v>54.8</v>
      </c>
      <c r="P35" s="116">
        <f>IF(OR(J35=""),"",L35*O35)</f>
        <v>855.730222</v>
      </c>
      <c r="Q35" s="117">
        <f t="shared" si="9"/>
        <v>1.45</v>
      </c>
      <c r="R35" s="182">
        <f t="shared" si="5"/>
        <v>10</v>
      </c>
      <c r="S35" s="116">
        <f t="shared" si="10"/>
        <v>1250.8088219</v>
      </c>
      <c r="T35" s="186">
        <f t="shared" si="11"/>
        <v>1300</v>
      </c>
      <c r="U35" s="107"/>
      <c r="V35" s="107"/>
      <c r="W35" s="107"/>
      <c r="X35" s="107"/>
      <c r="Y35" s="107"/>
      <c r="Z35" s="107"/>
    </row>
    <row r="36" spans="1:26" s="137" customFormat="1" ht="27.75" customHeight="1">
      <c r="A36" s="166">
        <v>13</v>
      </c>
      <c r="B36" s="125" t="s">
        <v>110</v>
      </c>
      <c r="C36" s="125">
        <v>3</v>
      </c>
      <c r="D36" s="126" t="s">
        <v>133</v>
      </c>
      <c r="E36" s="127" t="s">
        <v>74</v>
      </c>
      <c r="F36" s="128">
        <v>40407</v>
      </c>
      <c r="G36" s="128">
        <v>41749</v>
      </c>
      <c r="H36" s="125">
        <v>100</v>
      </c>
      <c r="I36" s="129">
        <v>19.5</v>
      </c>
      <c r="J36" s="130">
        <f t="shared" si="1"/>
        <v>3</v>
      </c>
      <c r="K36" s="131" t="str">
        <f t="shared" si="6"/>
        <v>以上児</v>
      </c>
      <c r="L36" s="138">
        <f t="shared" si="2"/>
        <v>15.467300000000002</v>
      </c>
      <c r="M36" s="132">
        <f t="shared" si="3"/>
        <v>26.072423758509878</v>
      </c>
      <c r="N36" s="133" t="str">
        <f t="shared" si="7"/>
        <v>ややふとりすぎ</v>
      </c>
      <c r="O36" s="134">
        <f>IF(OR(J36=""),"",IF(AND(E36="男",J36&lt;=2),61,IF(AND(E36="男",J36&gt;=3),54.8,IF(AND(E36="女",J36&lt;=2),59.7,52.2))))</f>
        <v>54.8</v>
      </c>
      <c r="P36" s="139">
        <f>IF(OR(J36=""),"",L36*O36)</f>
        <v>847.6080400000001</v>
      </c>
      <c r="Q36" s="135">
        <f>IF(OR(J36=""),"",IF(J36&gt;=3,1.45,1.35))</f>
        <v>1.45</v>
      </c>
      <c r="R36" s="183">
        <f t="shared" si="5"/>
        <v>10</v>
      </c>
      <c r="S36" s="190">
        <f>IF(OR(J36=""),"",P36*Q36+R36)</f>
        <v>1239.031658</v>
      </c>
      <c r="T36" s="187">
        <f t="shared" si="11"/>
        <v>1250</v>
      </c>
      <c r="U36" s="136"/>
      <c r="V36" s="136"/>
      <c r="W36" s="136"/>
      <c r="X36" s="136"/>
      <c r="Y36" s="136"/>
      <c r="Z36" s="136"/>
    </row>
    <row r="37" spans="1:26" s="108" customFormat="1" ht="27.75" customHeight="1">
      <c r="A37" s="165">
        <v>14</v>
      </c>
      <c r="B37" s="103" t="s">
        <v>111</v>
      </c>
      <c r="C37" s="103">
        <v>3</v>
      </c>
      <c r="D37" s="109" t="s">
        <v>105</v>
      </c>
      <c r="E37" s="120" t="s">
        <v>75</v>
      </c>
      <c r="F37" s="105">
        <v>40500</v>
      </c>
      <c r="G37" s="105">
        <v>41749</v>
      </c>
      <c r="H37" s="103">
        <v>95</v>
      </c>
      <c r="I37" s="106">
        <v>15</v>
      </c>
      <c r="J37" s="111">
        <f t="shared" si="1"/>
        <v>3</v>
      </c>
      <c r="K37" s="112" t="str">
        <f t="shared" si="6"/>
        <v>以上児</v>
      </c>
      <c r="L37" s="124">
        <f t="shared" si="2"/>
        <v>13.857250000000002</v>
      </c>
      <c r="M37" s="113">
        <f t="shared" si="3"/>
        <v>8.246585722275325</v>
      </c>
      <c r="N37" s="114" t="str">
        <f t="shared" si="7"/>
        <v>ふつう</v>
      </c>
      <c r="O37" s="115">
        <f t="shared" si="4"/>
        <v>52.2</v>
      </c>
      <c r="P37" s="116">
        <f t="shared" si="8"/>
        <v>723.3484500000002</v>
      </c>
      <c r="Q37" s="117">
        <f t="shared" si="9"/>
        <v>1.45</v>
      </c>
      <c r="R37" s="182">
        <f t="shared" si="5"/>
        <v>10</v>
      </c>
      <c r="S37" s="116">
        <f t="shared" si="10"/>
        <v>1058.8552525000002</v>
      </c>
      <c r="T37" s="186">
        <f t="shared" si="11"/>
        <v>1100</v>
      </c>
      <c r="U37" s="107"/>
      <c r="V37" s="107"/>
      <c r="W37" s="107"/>
      <c r="X37" s="107"/>
      <c r="Y37" s="107"/>
      <c r="Z37" s="107"/>
    </row>
    <row r="38" spans="1:26" s="108" customFormat="1" ht="27.75" customHeight="1" thickBot="1">
      <c r="A38" s="167">
        <v>15</v>
      </c>
      <c r="B38" s="168" t="s">
        <v>110</v>
      </c>
      <c r="C38" s="168">
        <v>3</v>
      </c>
      <c r="D38" s="169" t="s">
        <v>105</v>
      </c>
      <c r="E38" s="170" t="s">
        <v>75</v>
      </c>
      <c r="F38" s="171">
        <v>40593</v>
      </c>
      <c r="G38" s="171">
        <v>41749</v>
      </c>
      <c r="H38" s="168">
        <v>93.3</v>
      </c>
      <c r="I38" s="172">
        <v>11.1</v>
      </c>
      <c r="J38" s="173">
        <f t="shared" si="1"/>
        <v>3</v>
      </c>
      <c r="K38" s="174" t="str">
        <f t="shared" si="6"/>
        <v>以上児</v>
      </c>
      <c r="L38" s="175">
        <f t="shared" si="2"/>
        <v>13.376036099999999</v>
      </c>
      <c r="M38" s="176">
        <f t="shared" si="3"/>
        <v>-17.015774202343838</v>
      </c>
      <c r="N38" s="177" t="str">
        <f t="shared" si="7"/>
        <v>やせ</v>
      </c>
      <c r="O38" s="178">
        <f t="shared" si="4"/>
        <v>52.2</v>
      </c>
      <c r="P38" s="179">
        <f t="shared" si="8"/>
        <v>698.2290844199999</v>
      </c>
      <c r="Q38" s="180">
        <f t="shared" si="9"/>
        <v>1.45</v>
      </c>
      <c r="R38" s="184">
        <f t="shared" si="5"/>
        <v>10</v>
      </c>
      <c r="S38" s="179">
        <f t="shared" si="10"/>
        <v>1022.4321724089999</v>
      </c>
      <c r="T38" s="188">
        <f t="shared" si="11"/>
        <v>1050</v>
      </c>
      <c r="U38" s="107"/>
      <c r="V38" s="107"/>
      <c r="W38" s="107"/>
      <c r="X38" s="107"/>
      <c r="Y38" s="107"/>
      <c r="Z38" s="107"/>
    </row>
    <row r="39" spans="1:26" s="108" customFormat="1" ht="27.75" customHeight="1" thickTop="1">
      <c r="A39" s="102">
        <v>16</v>
      </c>
      <c r="B39" s="103" t="s">
        <v>112</v>
      </c>
      <c r="C39" s="103">
        <v>2</v>
      </c>
      <c r="D39" s="103" t="s">
        <v>105</v>
      </c>
      <c r="E39" s="104" t="s">
        <v>74</v>
      </c>
      <c r="F39" s="105">
        <v>40658</v>
      </c>
      <c r="G39" s="105">
        <v>41749</v>
      </c>
      <c r="H39" s="103">
        <v>92</v>
      </c>
      <c r="I39" s="106">
        <v>10.2</v>
      </c>
      <c r="J39" s="146">
        <f t="shared" si="1"/>
        <v>2</v>
      </c>
      <c r="K39" s="147" t="str">
        <f t="shared" si="6"/>
        <v>未満児</v>
      </c>
      <c r="L39" s="148">
        <f t="shared" si="2"/>
        <v>13.235940000000003</v>
      </c>
      <c r="M39" s="113">
        <f t="shared" si="3"/>
        <v>-22.937094003146</v>
      </c>
      <c r="N39" s="149" t="str">
        <f t="shared" si="7"/>
        <v>やせすぎ</v>
      </c>
      <c r="O39" s="118">
        <f t="shared" si="4"/>
        <v>61</v>
      </c>
      <c r="P39" s="116">
        <f t="shared" si="8"/>
        <v>807.3923400000002</v>
      </c>
      <c r="Q39" s="150">
        <f t="shared" si="9"/>
        <v>1.35</v>
      </c>
      <c r="R39" s="118">
        <f t="shared" si="5"/>
        <v>20</v>
      </c>
      <c r="S39" s="116">
        <f t="shared" si="10"/>
        <v>1109.9796590000003</v>
      </c>
      <c r="T39" s="151">
        <f t="shared" si="11"/>
        <v>1150</v>
      </c>
      <c r="U39" s="107"/>
      <c r="V39" s="107"/>
      <c r="W39" s="107"/>
      <c r="X39" s="107"/>
      <c r="Y39" s="107"/>
      <c r="Z39" s="107"/>
    </row>
    <row r="40" spans="1:26" s="108" customFormat="1" ht="27.75" customHeight="1">
      <c r="A40" s="102">
        <v>17</v>
      </c>
      <c r="B40" s="103" t="s">
        <v>113</v>
      </c>
      <c r="C40" s="103">
        <v>2</v>
      </c>
      <c r="D40" s="109" t="s">
        <v>105</v>
      </c>
      <c r="E40" s="104" t="s">
        <v>75</v>
      </c>
      <c r="F40" s="105">
        <v>40807</v>
      </c>
      <c r="G40" s="105">
        <v>41749</v>
      </c>
      <c r="H40" s="103">
        <v>88.3</v>
      </c>
      <c r="I40" s="106">
        <v>9</v>
      </c>
      <c r="J40" s="111">
        <f t="shared" si="1"/>
        <v>2</v>
      </c>
      <c r="K40" s="112" t="str">
        <f t="shared" si="6"/>
        <v>未満児</v>
      </c>
      <c r="L40" s="124">
        <f t="shared" si="2"/>
        <v>12.044116099999998</v>
      </c>
      <c r="M40" s="113">
        <f t="shared" si="3"/>
        <v>-25.274715676312674</v>
      </c>
      <c r="N40" s="114" t="str">
        <f t="shared" si="7"/>
        <v>やせすぎ</v>
      </c>
      <c r="O40" s="115">
        <f t="shared" si="4"/>
        <v>59.7</v>
      </c>
      <c r="P40" s="116">
        <f t="shared" si="8"/>
        <v>719.0337311699999</v>
      </c>
      <c r="Q40" s="117">
        <f t="shared" si="9"/>
        <v>1.35</v>
      </c>
      <c r="R40" s="118">
        <f t="shared" si="5"/>
        <v>15</v>
      </c>
      <c r="S40" s="116">
        <f t="shared" si="10"/>
        <v>985.6955370794999</v>
      </c>
      <c r="T40" s="119">
        <f t="shared" si="11"/>
        <v>1000</v>
      </c>
      <c r="U40" s="107"/>
      <c r="V40" s="107"/>
      <c r="W40" s="107"/>
      <c r="X40" s="107"/>
      <c r="Y40" s="107"/>
      <c r="Z40" s="107"/>
    </row>
    <row r="41" spans="1:26" s="108" customFormat="1" ht="27.75" customHeight="1">
      <c r="A41" s="102">
        <v>18</v>
      </c>
      <c r="B41" s="103" t="s">
        <v>113</v>
      </c>
      <c r="C41" s="103">
        <v>2</v>
      </c>
      <c r="D41" s="109" t="s">
        <v>105</v>
      </c>
      <c r="E41" s="120" t="s">
        <v>75</v>
      </c>
      <c r="F41" s="105">
        <v>40808</v>
      </c>
      <c r="G41" s="105">
        <v>41749</v>
      </c>
      <c r="H41" s="103">
        <v>90.1</v>
      </c>
      <c r="I41" s="106">
        <v>11</v>
      </c>
      <c r="J41" s="111">
        <f t="shared" si="1"/>
        <v>2</v>
      </c>
      <c r="K41" s="112" t="str">
        <f t="shared" si="6"/>
        <v>未満児</v>
      </c>
      <c r="L41" s="124">
        <f t="shared" si="2"/>
        <v>12.5092649</v>
      </c>
      <c r="M41" s="113">
        <f t="shared" si="3"/>
        <v>-12.065176587634657</v>
      </c>
      <c r="N41" s="114" t="str">
        <f t="shared" si="7"/>
        <v>ふつう</v>
      </c>
      <c r="O41" s="115">
        <f t="shared" si="4"/>
        <v>59.7</v>
      </c>
      <c r="P41" s="116">
        <f t="shared" si="8"/>
        <v>746.80311453</v>
      </c>
      <c r="Q41" s="117">
        <f t="shared" si="9"/>
        <v>1.35</v>
      </c>
      <c r="R41" s="118">
        <f t="shared" si="5"/>
        <v>15</v>
      </c>
      <c r="S41" s="116">
        <f t="shared" si="10"/>
        <v>1023.1842046155001</v>
      </c>
      <c r="T41" s="119">
        <f t="shared" si="11"/>
        <v>1050</v>
      </c>
      <c r="U41" s="107"/>
      <c r="V41" s="107"/>
      <c r="W41" s="107"/>
      <c r="X41" s="107"/>
      <c r="Y41" s="107"/>
      <c r="Z41" s="107"/>
    </row>
    <row r="42" spans="1:26" s="108" customFormat="1" ht="27.75" customHeight="1">
      <c r="A42" s="102">
        <v>19</v>
      </c>
      <c r="B42" s="103" t="s">
        <v>113</v>
      </c>
      <c r="C42" s="103">
        <v>2</v>
      </c>
      <c r="D42" s="109" t="s">
        <v>105</v>
      </c>
      <c r="E42" s="120" t="s">
        <v>74</v>
      </c>
      <c r="F42" s="105">
        <v>40931</v>
      </c>
      <c r="G42" s="105">
        <v>41749</v>
      </c>
      <c r="H42" s="103">
        <v>84.9</v>
      </c>
      <c r="I42" s="106">
        <v>10</v>
      </c>
      <c r="J42" s="111">
        <f t="shared" si="1"/>
        <v>2</v>
      </c>
      <c r="K42" s="112" t="str">
        <f t="shared" si="6"/>
        <v>未満児</v>
      </c>
      <c r="L42" s="124">
        <f t="shared" si="2"/>
        <v>11.476460600000003</v>
      </c>
      <c r="M42" s="113">
        <f t="shared" si="3"/>
        <v>-12.86512149921904</v>
      </c>
      <c r="N42" s="114" t="str">
        <f t="shared" si="7"/>
        <v>ふつう</v>
      </c>
      <c r="O42" s="115">
        <f t="shared" si="4"/>
        <v>61</v>
      </c>
      <c r="P42" s="116">
        <f t="shared" si="8"/>
        <v>700.0640966000002</v>
      </c>
      <c r="Q42" s="117">
        <f t="shared" si="9"/>
        <v>1.35</v>
      </c>
      <c r="R42" s="118">
        <f t="shared" si="5"/>
        <v>20</v>
      </c>
      <c r="S42" s="116">
        <f t="shared" si="10"/>
        <v>965.0865304100004</v>
      </c>
      <c r="T42" s="119">
        <f t="shared" si="11"/>
        <v>1000</v>
      </c>
      <c r="U42" s="107"/>
      <c r="V42" s="107"/>
      <c r="W42" s="107"/>
      <c r="X42" s="107"/>
      <c r="Y42" s="107"/>
      <c r="Z42" s="107"/>
    </row>
    <row r="43" spans="1:26" s="108" customFormat="1" ht="27.75" customHeight="1">
      <c r="A43" s="102">
        <v>20</v>
      </c>
      <c r="B43" s="103" t="s">
        <v>113</v>
      </c>
      <c r="C43" s="103">
        <v>2</v>
      </c>
      <c r="D43" s="109" t="s">
        <v>105</v>
      </c>
      <c r="E43" s="120" t="s">
        <v>74</v>
      </c>
      <c r="F43" s="105">
        <v>40963</v>
      </c>
      <c r="G43" s="105">
        <v>41749</v>
      </c>
      <c r="H43" s="103">
        <v>94.1</v>
      </c>
      <c r="I43" s="106">
        <v>13</v>
      </c>
      <c r="J43" s="111">
        <f t="shared" si="1"/>
        <v>2</v>
      </c>
      <c r="K43" s="112" t="str">
        <f t="shared" si="6"/>
        <v>未満児</v>
      </c>
      <c r="L43" s="124">
        <f t="shared" si="2"/>
        <v>13.796148600000002</v>
      </c>
      <c r="M43" s="113">
        <f t="shared" si="3"/>
        <v>-5.770803309555553</v>
      </c>
      <c r="N43" s="114" t="str">
        <f t="shared" si="7"/>
        <v>ふつう</v>
      </c>
      <c r="O43" s="115">
        <f t="shared" si="4"/>
        <v>61</v>
      </c>
      <c r="P43" s="116">
        <f t="shared" si="8"/>
        <v>841.5650646000001</v>
      </c>
      <c r="Q43" s="117">
        <f t="shared" si="9"/>
        <v>1.35</v>
      </c>
      <c r="R43" s="118">
        <f t="shared" si="5"/>
        <v>20</v>
      </c>
      <c r="S43" s="116">
        <f t="shared" si="10"/>
        <v>1156.1128372100002</v>
      </c>
      <c r="T43" s="119">
        <f t="shared" si="11"/>
        <v>1200</v>
      </c>
      <c r="U43" s="107"/>
      <c r="V43" s="107"/>
      <c r="W43" s="107"/>
      <c r="X43" s="107"/>
      <c r="Y43" s="107"/>
      <c r="Z43" s="107"/>
    </row>
    <row r="44" spans="1:26" s="108" customFormat="1" ht="27.75" customHeight="1">
      <c r="A44" s="102">
        <v>21</v>
      </c>
      <c r="B44" s="103" t="s">
        <v>112</v>
      </c>
      <c r="C44" s="103">
        <v>2</v>
      </c>
      <c r="D44" s="109" t="s">
        <v>105</v>
      </c>
      <c r="E44" s="120" t="s">
        <v>74</v>
      </c>
      <c r="F44" s="105">
        <v>40993</v>
      </c>
      <c r="G44" s="105">
        <v>41749</v>
      </c>
      <c r="H44" s="103">
        <v>85.4</v>
      </c>
      <c r="I44" s="106">
        <v>10</v>
      </c>
      <c r="J44" s="111">
        <f t="shared" si="1"/>
        <v>2</v>
      </c>
      <c r="K44" s="112" t="str">
        <f t="shared" si="6"/>
        <v>未満児</v>
      </c>
      <c r="L44" s="124">
        <f t="shared" si="2"/>
        <v>11.593569600000004</v>
      </c>
      <c r="M44" s="113">
        <f t="shared" si="3"/>
        <v>-13.745288595153674</v>
      </c>
      <c r="N44" s="114" t="str">
        <f t="shared" si="7"/>
        <v>ふつう</v>
      </c>
      <c r="O44" s="115">
        <f t="shared" si="4"/>
        <v>61</v>
      </c>
      <c r="P44" s="116">
        <f t="shared" si="8"/>
        <v>707.2077456000003</v>
      </c>
      <c r="Q44" s="117">
        <f t="shared" si="9"/>
        <v>1.35</v>
      </c>
      <c r="R44" s="118">
        <f t="shared" si="5"/>
        <v>20</v>
      </c>
      <c r="S44" s="116">
        <f t="shared" si="10"/>
        <v>974.7304565600004</v>
      </c>
      <c r="T44" s="119">
        <f t="shared" si="11"/>
        <v>1000</v>
      </c>
      <c r="U44" s="107"/>
      <c r="V44" s="107"/>
      <c r="W44" s="107"/>
      <c r="X44" s="107"/>
      <c r="Y44" s="107"/>
      <c r="Z44" s="107"/>
    </row>
    <row r="45" spans="1:26" s="108" customFormat="1" ht="27.75" customHeight="1">
      <c r="A45" s="102">
        <v>22</v>
      </c>
      <c r="B45" s="103" t="s">
        <v>114</v>
      </c>
      <c r="C45" s="103">
        <v>1</v>
      </c>
      <c r="D45" s="109" t="s">
        <v>105</v>
      </c>
      <c r="E45" s="120" t="s">
        <v>74</v>
      </c>
      <c r="F45" s="105">
        <v>41025</v>
      </c>
      <c r="G45" s="105">
        <v>41754</v>
      </c>
      <c r="H45" s="103">
        <v>83.2</v>
      </c>
      <c r="I45" s="106">
        <v>12</v>
      </c>
      <c r="J45" s="111">
        <f t="shared" si="1"/>
        <v>1</v>
      </c>
      <c r="K45" s="112" t="str">
        <f t="shared" si="6"/>
        <v>未満児</v>
      </c>
      <c r="L45" s="124">
        <f t="shared" si="2"/>
        <v>11.085994400000002</v>
      </c>
      <c r="M45" s="113">
        <f t="shared" si="3"/>
        <v>8.244687549183658</v>
      </c>
      <c r="N45" s="114" t="str">
        <f t="shared" si="7"/>
        <v>ふつう</v>
      </c>
      <c r="O45" s="115">
        <f t="shared" si="4"/>
        <v>61</v>
      </c>
      <c r="P45" s="116">
        <f t="shared" si="8"/>
        <v>676.2456584000001</v>
      </c>
      <c r="Q45" s="117">
        <f t="shared" si="9"/>
        <v>1.35</v>
      </c>
      <c r="R45" s="118">
        <f t="shared" si="5"/>
        <v>20</v>
      </c>
      <c r="S45" s="116">
        <f t="shared" si="10"/>
        <v>932.9316388400002</v>
      </c>
      <c r="T45" s="119">
        <f t="shared" si="11"/>
        <v>950</v>
      </c>
      <c r="U45" s="107"/>
      <c r="V45" s="107"/>
      <c r="W45" s="107"/>
      <c r="X45" s="107"/>
      <c r="Y45" s="107"/>
      <c r="Z45" s="107"/>
    </row>
    <row r="46" spans="1:26" s="108" customFormat="1" ht="27.75" customHeight="1">
      <c r="A46" s="102">
        <v>23</v>
      </c>
      <c r="B46" s="103" t="s">
        <v>114</v>
      </c>
      <c r="C46" s="103">
        <v>1</v>
      </c>
      <c r="D46" s="103" t="s">
        <v>105</v>
      </c>
      <c r="E46" s="104" t="s">
        <v>75</v>
      </c>
      <c r="F46" s="105">
        <v>41117</v>
      </c>
      <c r="G46" s="105">
        <v>41754</v>
      </c>
      <c r="H46" s="103">
        <v>77.4</v>
      </c>
      <c r="I46" s="106">
        <v>9.8</v>
      </c>
      <c r="J46" s="111">
        <f t="shared" si="1"/>
        <v>1</v>
      </c>
      <c r="K46" s="112" t="str">
        <f t="shared" si="6"/>
        <v>未満児</v>
      </c>
      <c r="L46" s="124">
        <f t="shared" si="2"/>
        <v>9.572072400000001</v>
      </c>
      <c r="M46" s="113">
        <f t="shared" si="3"/>
        <v>2.3811729631296896</v>
      </c>
      <c r="N46" s="114" t="str">
        <f t="shared" si="7"/>
        <v>ふつう</v>
      </c>
      <c r="O46" s="115">
        <f t="shared" si="4"/>
        <v>59.7</v>
      </c>
      <c r="P46" s="116">
        <f t="shared" si="8"/>
        <v>571.4527222800001</v>
      </c>
      <c r="Q46" s="117">
        <f t="shared" si="9"/>
        <v>1.35</v>
      </c>
      <c r="R46" s="118">
        <f t="shared" si="5"/>
        <v>15</v>
      </c>
      <c r="S46" s="116">
        <f t="shared" si="10"/>
        <v>786.4611750780002</v>
      </c>
      <c r="T46" s="119">
        <f t="shared" si="11"/>
        <v>800</v>
      </c>
      <c r="U46" s="107"/>
      <c r="V46" s="107"/>
      <c r="W46" s="107"/>
      <c r="X46" s="107"/>
      <c r="Y46" s="107"/>
      <c r="Z46" s="107"/>
    </row>
    <row r="47" spans="1:26" s="108" customFormat="1" ht="27.75" customHeight="1">
      <c r="A47" s="102">
        <v>24</v>
      </c>
      <c r="B47" s="103" t="s">
        <v>114</v>
      </c>
      <c r="C47" s="103">
        <v>1</v>
      </c>
      <c r="D47" s="103" t="s">
        <v>105</v>
      </c>
      <c r="E47" s="120" t="s">
        <v>74</v>
      </c>
      <c r="F47" s="105">
        <v>41210</v>
      </c>
      <c r="G47" s="105">
        <v>41754</v>
      </c>
      <c r="H47" s="109">
        <v>85.3</v>
      </c>
      <c r="I47" s="110">
        <v>12</v>
      </c>
      <c r="J47" s="111">
        <f t="shared" si="1"/>
        <v>1</v>
      </c>
      <c r="K47" s="112" t="str">
        <f t="shared" si="6"/>
        <v>未満児</v>
      </c>
      <c r="L47" s="124">
        <f t="shared" si="2"/>
        <v>11.570065400000002</v>
      </c>
      <c r="M47" s="113">
        <f t="shared" si="3"/>
        <v>3.7159219514869593</v>
      </c>
      <c r="N47" s="114" t="str">
        <f t="shared" si="7"/>
        <v>ふつう</v>
      </c>
      <c r="O47" s="115">
        <f t="shared" si="4"/>
        <v>61</v>
      </c>
      <c r="P47" s="116">
        <f t="shared" si="8"/>
        <v>705.7739894000001</v>
      </c>
      <c r="Q47" s="117">
        <f t="shared" si="9"/>
        <v>1.35</v>
      </c>
      <c r="R47" s="118">
        <f t="shared" si="5"/>
        <v>20</v>
      </c>
      <c r="S47" s="116">
        <f t="shared" si="10"/>
        <v>972.7948856900002</v>
      </c>
      <c r="T47" s="119">
        <f t="shared" si="11"/>
        <v>1000</v>
      </c>
      <c r="U47" s="107"/>
      <c r="V47" s="107"/>
      <c r="W47" s="107"/>
      <c r="X47" s="107"/>
      <c r="Y47" s="107"/>
      <c r="Z47" s="107"/>
    </row>
    <row r="48" spans="1:26" s="108" customFormat="1" ht="27.75" customHeight="1">
      <c r="A48" s="102">
        <v>25</v>
      </c>
      <c r="B48" s="103" t="s">
        <v>114</v>
      </c>
      <c r="C48" s="103">
        <v>1</v>
      </c>
      <c r="D48" s="109" t="s">
        <v>105</v>
      </c>
      <c r="E48" s="120" t="s">
        <v>75</v>
      </c>
      <c r="F48" s="105">
        <v>41362</v>
      </c>
      <c r="G48" s="105">
        <v>41754</v>
      </c>
      <c r="H48" s="109">
        <v>79</v>
      </c>
      <c r="I48" s="110">
        <v>10</v>
      </c>
      <c r="J48" s="111">
        <f t="shared" si="1"/>
        <v>1</v>
      </c>
      <c r="K48" s="112" t="str">
        <f t="shared" si="6"/>
        <v>未満児</v>
      </c>
      <c r="L48" s="124">
        <f t="shared" si="2"/>
        <v>9.89789</v>
      </c>
      <c r="M48" s="113">
        <f t="shared" si="3"/>
        <v>1.0316340149264105</v>
      </c>
      <c r="N48" s="114" t="str">
        <f t="shared" si="7"/>
        <v>ふつう</v>
      </c>
      <c r="O48" s="115">
        <f t="shared" si="4"/>
        <v>59.7</v>
      </c>
      <c r="P48" s="116">
        <f t="shared" si="8"/>
        <v>590.904033</v>
      </c>
      <c r="Q48" s="117">
        <f t="shared" si="9"/>
        <v>1.35</v>
      </c>
      <c r="R48" s="118">
        <f t="shared" si="5"/>
        <v>15</v>
      </c>
      <c r="S48" s="116">
        <f t="shared" si="10"/>
        <v>812.7204445500001</v>
      </c>
      <c r="T48" s="119">
        <f t="shared" si="11"/>
        <v>850</v>
      </c>
      <c r="U48" s="107"/>
      <c r="V48" s="107"/>
      <c r="W48" s="107"/>
      <c r="X48" s="107"/>
      <c r="Y48" s="107"/>
      <c r="Z48" s="107"/>
    </row>
    <row r="49" spans="1:26" s="108" customFormat="1" ht="27.75" customHeight="1">
      <c r="A49" s="102">
        <v>26</v>
      </c>
      <c r="B49" s="103" t="s">
        <v>114</v>
      </c>
      <c r="C49" s="103">
        <v>1</v>
      </c>
      <c r="D49" s="109" t="s">
        <v>105</v>
      </c>
      <c r="E49" s="120" t="s">
        <v>74</v>
      </c>
      <c r="F49" s="105">
        <v>41363</v>
      </c>
      <c r="G49" s="105">
        <v>41754</v>
      </c>
      <c r="H49" s="109">
        <v>75</v>
      </c>
      <c r="I49" s="110">
        <v>10.5</v>
      </c>
      <c r="J49" s="111">
        <f t="shared" si="1"/>
        <v>1</v>
      </c>
      <c r="K49" s="112" t="str">
        <f t="shared" si="6"/>
        <v>未満児</v>
      </c>
      <c r="L49" s="124">
        <f t="shared" si="2"/>
        <v>9.369800000000003</v>
      </c>
      <c r="M49" s="113">
        <f t="shared" si="3"/>
        <v>12.062157143162034</v>
      </c>
      <c r="N49" s="114" t="str">
        <f t="shared" si="7"/>
        <v>ふつう</v>
      </c>
      <c r="O49" s="115">
        <f t="shared" si="4"/>
        <v>61</v>
      </c>
      <c r="P49" s="116">
        <f t="shared" si="8"/>
        <v>571.5578000000002</v>
      </c>
      <c r="Q49" s="117">
        <f t="shared" si="9"/>
        <v>1.35</v>
      </c>
      <c r="R49" s="118">
        <f t="shared" si="5"/>
        <v>20</v>
      </c>
      <c r="S49" s="116">
        <f t="shared" si="10"/>
        <v>791.6030300000002</v>
      </c>
      <c r="T49" s="119">
        <f t="shared" si="11"/>
        <v>800</v>
      </c>
      <c r="U49" s="107"/>
      <c r="V49" s="107"/>
      <c r="W49" s="107"/>
      <c r="X49" s="107"/>
      <c r="Y49" s="107"/>
      <c r="Z49" s="107"/>
    </row>
    <row r="50" spans="1:26" s="108" customFormat="1" ht="27.75" customHeight="1">
      <c r="A50" s="102">
        <v>27</v>
      </c>
      <c r="B50" s="103" t="s">
        <v>115</v>
      </c>
      <c r="C50" s="103">
        <v>0</v>
      </c>
      <c r="D50" s="109" t="s">
        <v>105</v>
      </c>
      <c r="E50" s="120" t="s">
        <v>74</v>
      </c>
      <c r="F50" s="105">
        <v>41367</v>
      </c>
      <c r="G50" s="105">
        <v>41754</v>
      </c>
      <c r="H50" s="109">
        <v>73.9</v>
      </c>
      <c r="I50" s="110">
        <v>9</v>
      </c>
      <c r="J50" s="111">
        <f t="shared" si="1"/>
        <v>1</v>
      </c>
      <c r="K50" s="112" t="str">
        <f t="shared" si="6"/>
        <v>未満児</v>
      </c>
      <c r="L50" s="124">
        <f t="shared" si="2"/>
        <v>9.160652600000004</v>
      </c>
      <c r="M50" s="113">
        <f t="shared" si="3"/>
        <v>-1.7537244016873215</v>
      </c>
      <c r="N50" s="114" t="str">
        <f t="shared" si="7"/>
        <v>ふつう</v>
      </c>
      <c r="O50" s="115">
        <f t="shared" si="4"/>
        <v>61</v>
      </c>
      <c r="P50" s="116">
        <f t="shared" si="8"/>
        <v>558.7998086000002</v>
      </c>
      <c r="Q50" s="117">
        <f t="shared" si="9"/>
        <v>1.35</v>
      </c>
      <c r="R50" s="118">
        <f t="shared" si="5"/>
        <v>20</v>
      </c>
      <c r="S50" s="116">
        <f t="shared" si="10"/>
        <v>774.3797416100003</v>
      </c>
      <c r="T50" s="119">
        <f t="shared" si="11"/>
        <v>800</v>
      </c>
      <c r="U50" s="107"/>
      <c r="V50" s="107"/>
      <c r="W50" s="107"/>
      <c r="X50" s="107"/>
      <c r="Y50" s="107"/>
      <c r="Z50" s="107"/>
    </row>
    <row r="51" spans="1:26" s="108" customFormat="1" ht="27.75" customHeight="1">
      <c r="A51" s="102">
        <v>28</v>
      </c>
      <c r="B51" s="103" t="s">
        <v>116</v>
      </c>
      <c r="C51" s="103">
        <v>0</v>
      </c>
      <c r="D51" s="109" t="s">
        <v>105</v>
      </c>
      <c r="E51" s="120" t="s">
        <v>74</v>
      </c>
      <c r="F51" s="105">
        <v>41395</v>
      </c>
      <c r="G51" s="105">
        <v>41754</v>
      </c>
      <c r="H51" s="103">
        <v>72.5</v>
      </c>
      <c r="I51" s="106">
        <v>8.5</v>
      </c>
      <c r="J51" s="111">
        <f t="shared" si="1"/>
        <v>0</v>
      </c>
      <c r="K51" s="112" t="str">
        <f t="shared" si="6"/>
        <v>未満児</v>
      </c>
      <c r="L51" s="124">
        <f t="shared" si="2"/>
        <v>8.901675000000001</v>
      </c>
      <c r="M51" s="113">
        <f t="shared" si="3"/>
        <v>-4.512353012214003</v>
      </c>
      <c r="N51" s="114" t="str">
        <f t="shared" si="7"/>
        <v>ふつう</v>
      </c>
      <c r="O51" s="115">
        <f t="shared" si="4"/>
        <v>61</v>
      </c>
      <c r="P51" s="116">
        <f t="shared" si="8"/>
        <v>543.0021750000001</v>
      </c>
      <c r="Q51" s="117">
        <f t="shared" si="9"/>
        <v>1.35</v>
      </c>
      <c r="R51" s="118">
        <f t="shared" si="5"/>
        <v>20</v>
      </c>
      <c r="S51" s="116">
        <f t="shared" si="10"/>
        <v>753.0529362500001</v>
      </c>
      <c r="T51" s="119">
        <f t="shared" si="11"/>
        <v>800</v>
      </c>
      <c r="U51" s="107"/>
      <c r="V51" s="107"/>
      <c r="W51" s="107"/>
      <c r="X51" s="107"/>
      <c r="Y51" s="107"/>
      <c r="Z51" s="107"/>
    </row>
    <row r="52" spans="1:26" s="108" customFormat="1" ht="27.75" customHeight="1">
      <c r="A52" s="102">
        <v>29</v>
      </c>
      <c r="B52" s="103" t="s">
        <v>116</v>
      </c>
      <c r="C52" s="103">
        <v>0</v>
      </c>
      <c r="D52" s="109" t="s">
        <v>105</v>
      </c>
      <c r="E52" s="120" t="s">
        <v>74</v>
      </c>
      <c r="F52" s="105">
        <v>41549</v>
      </c>
      <c r="G52" s="105">
        <v>41754</v>
      </c>
      <c r="H52" s="103">
        <v>66</v>
      </c>
      <c r="I52" s="106">
        <v>8</v>
      </c>
      <c r="J52" s="111">
        <f t="shared" si="1"/>
        <v>0</v>
      </c>
      <c r="K52" s="112" t="str">
        <f t="shared" si="6"/>
        <v>未満児</v>
      </c>
      <c r="L52" s="124">
        <f t="shared" si="2"/>
        <v>7.805060000000002</v>
      </c>
      <c r="M52" s="113" t="str">
        <f t="shared" si="3"/>
        <v>測定不可</v>
      </c>
      <c r="N52" s="114" t="str">
        <f t="shared" si="7"/>
        <v>測定不可</v>
      </c>
      <c r="O52" s="115">
        <f t="shared" si="4"/>
        <v>61</v>
      </c>
      <c r="P52" s="116">
        <f t="shared" si="8"/>
        <v>476.1086600000001</v>
      </c>
      <c r="Q52" s="117">
        <f t="shared" si="9"/>
        <v>1.35</v>
      </c>
      <c r="R52" s="118">
        <f t="shared" si="5"/>
        <v>20</v>
      </c>
      <c r="S52" s="116">
        <f t="shared" si="10"/>
        <v>662.7466910000002</v>
      </c>
      <c r="T52" s="119">
        <f t="shared" si="11"/>
        <v>700</v>
      </c>
      <c r="U52" s="107"/>
      <c r="V52" s="107"/>
      <c r="W52" s="107"/>
      <c r="X52" s="107"/>
      <c r="Y52" s="107"/>
      <c r="Z52" s="107"/>
    </row>
    <row r="53" spans="1:26" s="108" customFormat="1" ht="27.75" customHeight="1">
      <c r="A53" s="102">
        <v>30</v>
      </c>
      <c r="B53" s="103" t="s">
        <v>116</v>
      </c>
      <c r="C53" s="103">
        <v>0</v>
      </c>
      <c r="D53" s="109" t="s">
        <v>105</v>
      </c>
      <c r="E53" s="120" t="s">
        <v>75</v>
      </c>
      <c r="F53" s="105">
        <v>41611</v>
      </c>
      <c r="G53" s="105">
        <v>41754</v>
      </c>
      <c r="H53" s="103">
        <v>64</v>
      </c>
      <c r="I53" s="106">
        <v>7.6</v>
      </c>
      <c r="J53" s="111">
        <f t="shared" si="1"/>
        <v>0</v>
      </c>
      <c r="K53" s="112" t="str">
        <f t="shared" si="6"/>
        <v>未満児</v>
      </c>
      <c r="L53" s="124">
        <f t="shared" si="2"/>
        <v>7.34384</v>
      </c>
      <c r="M53" s="113" t="str">
        <f t="shared" si="3"/>
        <v>測定不可</v>
      </c>
      <c r="N53" s="114" t="str">
        <f t="shared" si="7"/>
        <v>測定不可</v>
      </c>
      <c r="O53" s="115">
        <f t="shared" si="4"/>
        <v>59.7</v>
      </c>
      <c r="P53" s="116">
        <f t="shared" si="8"/>
        <v>438.427248</v>
      </c>
      <c r="Q53" s="117">
        <f t="shared" si="9"/>
        <v>1.35</v>
      </c>
      <c r="R53" s="118">
        <f t="shared" si="5"/>
        <v>15</v>
      </c>
      <c r="S53" s="116">
        <f t="shared" si="10"/>
        <v>606.8767848000001</v>
      </c>
      <c r="T53" s="119">
        <f t="shared" si="11"/>
        <v>650</v>
      </c>
      <c r="U53" s="107"/>
      <c r="V53" s="107"/>
      <c r="W53" s="107"/>
      <c r="X53" s="107"/>
      <c r="Y53" s="107"/>
      <c r="Z53" s="107"/>
    </row>
    <row r="54" spans="1:13" s="107" customFormat="1" ht="18" customHeight="1">
      <c r="A54" s="122"/>
      <c r="B54" s="122"/>
      <c r="C54" s="122"/>
      <c r="D54" s="122"/>
      <c r="E54" s="122"/>
      <c r="J54" s="122"/>
      <c r="M54" s="122"/>
    </row>
    <row r="55" spans="1:13" s="107" customFormat="1" ht="27.75" customHeight="1">
      <c r="A55" s="122"/>
      <c r="B55" s="122"/>
      <c r="C55" s="122"/>
      <c r="D55" s="189" t="s">
        <v>184</v>
      </c>
      <c r="E55" s="122"/>
      <c r="M55" s="122"/>
    </row>
    <row r="56" spans="1:22" s="107" customFormat="1" ht="27.75" customHeight="1">
      <c r="A56" s="122"/>
      <c r="B56" s="122"/>
      <c r="C56" s="122"/>
      <c r="D56" s="122"/>
      <c r="E56" s="122"/>
      <c r="J56" s="122"/>
      <c r="M56" s="122"/>
      <c r="V56"/>
    </row>
    <row r="57" spans="1:16" s="107" customFormat="1" ht="27.75" customHeight="1">
      <c r="A57" s="122"/>
      <c r="B57" s="122"/>
      <c r="C57" s="122"/>
      <c r="D57" s="122"/>
      <c r="E57" s="122"/>
      <c r="J57" s="122"/>
      <c r="M57" s="122"/>
      <c r="P57"/>
    </row>
    <row r="58" spans="1:13" s="107" customFormat="1" ht="27.75" customHeight="1">
      <c r="A58" s="122"/>
      <c r="B58" s="122"/>
      <c r="C58" s="122"/>
      <c r="D58" s="122"/>
      <c r="E58" s="122"/>
      <c r="J58" s="122"/>
      <c r="M58" s="122"/>
    </row>
    <row r="59" spans="1:13" s="107" customFormat="1" ht="27.75" customHeight="1">
      <c r="A59" s="122"/>
      <c r="B59" s="122"/>
      <c r="C59" s="122"/>
      <c r="D59" s="122"/>
      <c r="E59" s="122"/>
      <c r="J59" s="122"/>
      <c r="M59" s="122"/>
    </row>
    <row r="60" spans="1:13" s="107" customFormat="1" ht="27.75" customHeight="1">
      <c r="A60" s="122"/>
      <c r="B60" s="122"/>
      <c r="C60" s="122"/>
      <c r="D60" s="122"/>
      <c r="E60" s="122"/>
      <c r="J60" s="122"/>
      <c r="M60" s="122"/>
    </row>
    <row r="61" spans="1:13" s="107" customFormat="1" ht="27.75" customHeight="1">
      <c r="A61" s="122"/>
      <c r="B61" s="122"/>
      <c r="C61" s="122"/>
      <c r="D61" s="122"/>
      <c r="E61" s="122"/>
      <c r="J61" s="122"/>
      <c r="M61" s="122"/>
    </row>
    <row r="62" spans="1:13" s="107" customFormat="1" ht="27.75" customHeight="1">
      <c r="A62" s="122"/>
      <c r="B62" s="122"/>
      <c r="C62" s="122"/>
      <c r="D62" s="122"/>
      <c r="E62" s="122"/>
      <c r="J62" s="122"/>
      <c r="M62" s="122"/>
    </row>
    <row r="63" spans="2:13" s="107" customFormat="1" ht="27.75" customHeight="1">
      <c r="B63" s="122"/>
      <c r="C63" s="122"/>
      <c r="D63" s="122"/>
      <c r="J63" s="122"/>
      <c r="M63" s="122"/>
    </row>
    <row r="64" spans="2:13" s="107" customFormat="1" ht="27.75" customHeight="1">
      <c r="B64" s="122"/>
      <c r="C64" s="122"/>
      <c r="D64" s="122"/>
      <c r="J64" s="122"/>
      <c r="M64" s="122"/>
    </row>
    <row r="65" spans="2:13" s="107" customFormat="1" ht="27.75" customHeight="1">
      <c r="B65" s="122"/>
      <c r="C65" s="122"/>
      <c r="D65" s="122"/>
      <c r="J65" s="122"/>
      <c r="M65" s="122"/>
    </row>
    <row r="66" spans="2:13" s="107" customFormat="1" ht="27.75" customHeight="1">
      <c r="B66" s="122"/>
      <c r="C66" s="122"/>
      <c r="D66" s="122"/>
      <c r="J66" s="122"/>
      <c r="M66" s="122"/>
    </row>
    <row r="67" spans="2:13" s="107" customFormat="1" ht="27.75" customHeight="1">
      <c r="B67" s="122"/>
      <c r="C67" s="122"/>
      <c r="D67" s="122"/>
      <c r="J67" s="122"/>
      <c r="M67" s="122"/>
    </row>
    <row r="68" spans="2:13" s="107" customFormat="1" ht="27.75" customHeight="1">
      <c r="B68" s="122"/>
      <c r="C68" s="122"/>
      <c r="D68" s="122"/>
      <c r="J68" s="122"/>
      <c r="M68" s="122"/>
    </row>
    <row r="69" spans="2:13" s="107" customFormat="1" ht="27.75" customHeight="1">
      <c r="B69" s="122"/>
      <c r="C69" s="122"/>
      <c r="D69" s="122"/>
      <c r="J69" s="122"/>
      <c r="M69" s="122"/>
    </row>
    <row r="70" spans="2:13" s="107" customFormat="1" ht="27.75" customHeight="1">
      <c r="B70" s="122"/>
      <c r="C70" s="122"/>
      <c r="D70" s="122"/>
      <c r="J70" s="122"/>
      <c r="M70" s="122"/>
    </row>
    <row r="71" spans="2:13" s="107" customFormat="1" ht="27.75" customHeight="1">
      <c r="B71" s="122"/>
      <c r="C71" s="122"/>
      <c r="D71" s="122"/>
      <c r="J71" s="122"/>
      <c r="M71" s="122"/>
    </row>
    <row r="72" spans="2:13" s="107" customFormat="1" ht="27.75" customHeight="1">
      <c r="B72" s="122"/>
      <c r="C72" s="122"/>
      <c r="D72" s="122"/>
      <c r="J72" s="122"/>
      <c r="M72" s="122"/>
    </row>
    <row r="73" spans="2:13" s="107" customFormat="1" ht="27.75" customHeight="1">
      <c r="B73" s="122"/>
      <c r="C73" s="122"/>
      <c r="D73" s="122"/>
      <c r="J73" s="122"/>
      <c r="M73" s="122"/>
    </row>
    <row r="74" spans="2:13" s="107" customFormat="1" ht="27.75" customHeight="1">
      <c r="B74" s="122"/>
      <c r="C74" s="122"/>
      <c r="D74" s="122"/>
      <c r="J74" s="122"/>
      <c r="M74" s="122"/>
    </row>
    <row r="75" spans="2:13" s="107" customFormat="1" ht="27.75" customHeight="1">
      <c r="B75" s="122"/>
      <c r="C75" s="122"/>
      <c r="D75" s="122"/>
      <c r="J75" s="122"/>
      <c r="M75" s="122"/>
    </row>
    <row r="76" spans="2:13" s="107" customFormat="1" ht="27.75" customHeight="1">
      <c r="B76" s="122"/>
      <c r="C76" s="122"/>
      <c r="D76" s="122"/>
      <c r="J76" s="122"/>
      <c r="M76" s="122"/>
    </row>
    <row r="77" spans="2:13" s="107" customFormat="1" ht="27.75" customHeight="1">
      <c r="B77" s="122"/>
      <c r="C77" s="122"/>
      <c r="D77" s="122"/>
      <c r="J77" s="122"/>
      <c r="M77" s="122"/>
    </row>
    <row r="78" spans="2:13" s="107" customFormat="1" ht="27.75" customHeight="1">
      <c r="B78" s="122"/>
      <c r="C78" s="122"/>
      <c r="D78" s="122"/>
      <c r="J78" s="122"/>
      <c r="M78" s="122"/>
    </row>
    <row r="79" spans="2:13" s="107" customFormat="1" ht="27.75" customHeight="1">
      <c r="B79" s="122"/>
      <c r="C79" s="122"/>
      <c r="D79" s="122"/>
      <c r="J79" s="122"/>
      <c r="M79" s="122"/>
    </row>
    <row r="80" spans="2:13" s="107" customFormat="1" ht="27.75" customHeight="1">
      <c r="B80" s="122"/>
      <c r="C80" s="122"/>
      <c r="D80" s="122"/>
      <c r="J80" s="122"/>
      <c r="M80" s="122"/>
    </row>
    <row r="81" spans="2:13" s="107" customFormat="1" ht="27.75" customHeight="1">
      <c r="B81" s="122"/>
      <c r="C81" s="122"/>
      <c r="D81" s="122"/>
      <c r="J81" s="122"/>
      <c r="M81" s="122"/>
    </row>
    <row r="82" spans="2:13" s="107" customFormat="1" ht="27.75" customHeight="1">
      <c r="B82" s="122"/>
      <c r="C82" s="122"/>
      <c r="D82" s="122"/>
      <c r="J82" s="122"/>
      <c r="M82" s="122"/>
    </row>
    <row r="83" spans="2:13" s="107" customFormat="1" ht="27.75" customHeight="1">
      <c r="B83" s="122"/>
      <c r="C83" s="122"/>
      <c r="D83" s="122"/>
      <c r="J83" s="122"/>
      <c r="M83" s="122"/>
    </row>
    <row r="84" spans="2:13" s="107" customFormat="1" ht="27.75" customHeight="1">
      <c r="B84" s="122"/>
      <c r="C84" s="122"/>
      <c r="D84" s="122"/>
      <c r="J84" s="122"/>
      <c r="M84" s="122"/>
    </row>
    <row r="85" spans="2:13" s="107" customFormat="1" ht="27.75" customHeight="1">
      <c r="B85" s="122"/>
      <c r="C85" s="122"/>
      <c r="D85" s="122"/>
      <c r="J85" s="122"/>
      <c r="M85" s="122"/>
    </row>
    <row r="86" spans="2:13" s="107" customFormat="1" ht="27.75" customHeight="1">
      <c r="B86" s="122"/>
      <c r="C86" s="122"/>
      <c r="D86" s="122"/>
      <c r="J86" s="122"/>
      <c r="M86" s="122"/>
    </row>
    <row r="87" spans="2:13" s="107" customFormat="1" ht="27.75" customHeight="1">
      <c r="B87" s="122"/>
      <c r="C87" s="122"/>
      <c r="D87" s="122"/>
      <c r="J87" s="122"/>
      <c r="M87" s="122"/>
    </row>
    <row r="88" spans="2:13" s="107" customFormat="1" ht="27.75" customHeight="1">
      <c r="B88" s="122"/>
      <c r="C88" s="122"/>
      <c r="D88" s="122"/>
      <c r="J88" s="122"/>
      <c r="M88" s="122"/>
    </row>
    <row r="89" spans="2:13" s="107" customFormat="1" ht="27.75" customHeight="1">
      <c r="B89" s="122"/>
      <c r="C89" s="122"/>
      <c r="D89" s="122"/>
      <c r="J89" s="122"/>
      <c r="M89" s="122"/>
    </row>
    <row r="90" spans="2:13" s="107" customFormat="1" ht="27.75" customHeight="1">
      <c r="B90" s="122"/>
      <c r="C90" s="122"/>
      <c r="D90" s="122"/>
      <c r="J90" s="122"/>
      <c r="M90" s="122"/>
    </row>
    <row r="91" spans="2:13" s="107" customFormat="1" ht="27.75" customHeight="1">
      <c r="B91" s="122"/>
      <c r="C91" s="122"/>
      <c r="D91" s="122"/>
      <c r="J91" s="122"/>
      <c r="M91" s="122"/>
    </row>
    <row r="92" spans="2:13" s="107" customFormat="1" ht="27.75" customHeight="1">
      <c r="B92" s="122"/>
      <c r="C92" s="122"/>
      <c r="D92" s="122"/>
      <c r="J92" s="122"/>
      <c r="M92" s="122"/>
    </row>
    <row r="93" spans="2:13" s="107" customFormat="1" ht="27.75" customHeight="1">
      <c r="B93" s="122"/>
      <c r="C93" s="122"/>
      <c r="D93" s="122"/>
      <c r="J93" s="122"/>
      <c r="M93" s="122"/>
    </row>
    <row r="94" spans="2:13" s="107" customFormat="1" ht="27.75" customHeight="1">
      <c r="B94" s="122"/>
      <c r="C94" s="122"/>
      <c r="D94" s="122"/>
      <c r="J94" s="122"/>
      <c r="M94" s="122"/>
    </row>
    <row r="95" spans="2:13" s="107" customFormat="1" ht="27.75" customHeight="1">
      <c r="B95" s="122"/>
      <c r="C95" s="122"/>
      <c r="D95" s="122"/>
      <c r="J95" s="122"/>
      <c r="M95" s="122"/>
    </row>
    <row r="96" spans="2:13" s="107" customFormat="1" ht="27.75" customHeight="1">
      <c r="B96" s="122"/>
      <c r="C96" s="122"/>
      <c r="D96" s="122"/>
      <c r="J96" s="122"/>
      <c r="M96" s="122"/>
    </row>
    <row r="97" spans="2:13" s="107" customFormat="1" ht="27.75" customHeight="1">
      <c r="B97" s="122"/>
      <c r="C97" s="122"/>
      <c r="D97" s="122"/>
      <c r="J97" s="122"/>
      <c r="M97" s="122"/>
    </row>
    <row r="98" spans="2:13" s="107" customFormat="1" ht="27.75" customHeight="1">
      <c r="B98" s="122"/>
      <c r="C98" s="122"/>
      <c r="D98" s="122"/>
      <c r="J98" s="122"/>
      <c r="M98" s="122"/>
    </row>
    <row r="99" spans="2:13" s="107" customFormat="1" ht="27.75" customHeight="1">
      <c r="B99" s="122"/>
      <c r="C99" s="122"/>
      <c r="D99" s="122"/>
      <c r="J99" s="122"/>
      <c r="M99" s="122"/>
    </row>
    <row r="100" spans="2:13" s="107" customFormat="1" ht="27.75" customHeight="1">
      <c r="B100" s="122"/>
      <c r="C100" s="122"/>
      <c r="D100" s="122"/>
      <c r="J100" s="122"/>
      <c r="M100" s="122"/>
    </row>
    <row r="101" spans="2:13" s="107" customFormat="1" ht="27.75" customHeight="1">
      <c r="B101" s="122"/>
      <c r="C101" s="122"/>
      <c r="D101" s="122"/>
      <c r="J101" s="122"/>
      <c r="M101" s="122"/>
    </row>
    <row r="102" spans="2:13" s="107" customFormat="1" ht="27.75" customHeight="1">
      <c r="B102" s="122"/>
      <c r="C102" s="122"/>
      <c r="D102" s="122"/>
      <c r="J102" s="122"/>
      <c r="M102" s="122"/>
    </row>
    <row r="103" spans="2:13" s="107" customFormat="1" ht="27.75" customHeight="1">
      <c r="B103" s="122"/>
      <c r="C103" s="122"/>
      <c r="D103" s="122"/>
      <c r="J103" s="122"/>
      <c r="M103" s="122"/>
    </row>
    <row r="104" spans="2:13" s="107" customFormat="1" ht="27.75" customHeight="1">
      <c r="B104" s="122"/>
      <c r="C104" s="122"/>
      <c r="D104" s="122"/>
      <c r="J104" s="122"/>
      <c r="M104" s="122"/>
    </row>
    <row r="105" spans="2:13" s="107" customFormat="1" ht="27.75" customHeight="1">
      <c r="B105" s="122"/>
      <c r="C105" s="122"/>
      <c r="D105" s="122"/>
      <c r="J105" s="122"/>
      <c r="M105" s="122"/>
    </row>
    <row r="106" spans="2:13" s="107" customFormat="1" ht="27.75" customHeight="1">
      <c r="B106" s="122"/>
      <c r="C106" s="122"/>
      <c r="D106" s="122"/>
      <c r="J106" s="122"/>
      <c r="M106" s="122"/>
    </row>
    <row r="107" spans="2:13" s="107" customFormat="1" ht="27.75" customHeight="1">
      <c r="B107" s="122"/>
      <c r="C107" s="122"/>
      <c r="D107" s="122"/>
      <c r="J107" s="122"/>
      <c r="M107" s="122"/>
    </row>
    <row r="108" spans="2:13" s="107" customFormat="1" ht="27.75" customHeight="1">
      <c r="B108" s="122"/>
      <c r="C108" s="122"/>
      <c r="D108" s="122"/>
      <c r="J108" s="122"/>
      <c r="M108" s="122"/>
    </row>
    <row r="109" spans="2:13" s="107" customFormat="1" ht="27.75" customHeight="1">
      <c r="B109" s="122"/>
      <c r="C109" s="122"/>
      <c r="D109" s="122"/>
      <c r="J109" s="122"/>
      <c r="M109" s="122"/>
    </row>
    <row r="110" spans="2:13" s="107" customFormat="1" ht="27.75" customHeight="1">
      <c r="B110" s="122"/>
      <c r="C110" s="122"/>
      <c r="D110" s="122"/>
      <c r="J110" s="122"/>
      <c r="M110" s="122"/>
    </row>
    <row r="111" spans="2:13" s="107" customFormat="1" ht="27.75" customHeight="1">
      <c r="B111" s="122"/>
      <c r="C111" s="122"/>
      <c r="D111" s="122"/>
      <c r="J111" s="122"/>
      <c r="M111" s="122"/>
    </row>
    <row r="112" spans="2:13" s="107" customFormat="1" ht="27.75" customHeight="1">
      <c r="B112" s="122"/>
      <c r="C112" s="122"/>
      <c r="D112" s="122"/>
      <c r="J112" s="122"/>
      <c r="M112" s="122"/>
    </row>
    <row r="113" spans="2:13" s="107" customFormat="1" ht="27.75" customHeight="1">
      <c r="B113" s="122"/>
      <c r="C113" s="122"/>
      <c r="D113" s="122"/>
      <c r="J113" s="122"/>
      <c r="M113" s="122"/>
    </row>
    <row r="114" spans="2:13" s="107" customFormat="1" ht="27.75" customHeight="1">
      <c r="B114" s="122"/>
      <c r="C114" s="122"/>
      <c r="D114" s="122"/>
      <c r="J114" s="122"/>
      <c r="M114" s="122"/>
    </row>
    <row r="115" spans="2:13" s="107" customFormat="1" ht="27.75" customHeight="1">
      <c r="B115" s="122"/>
      <c r="C115" s="122"/>
      <c r="D115" s="122"/>
      <c r="J115" s="122"/>
      <c r="M115" s="122"/>
    </row>
    <row r="116" spans="2:13" s="107" customFormat="1" ht="27.75" customHeight="1">
      <c r="B116" s="122"/>
      <c r="C116" s="122"/>
      <c r="D116" s="122"/>
      <c r="J116" s="122"/>
      <c r="M116" s="122"/>
    </row>
    <row r="117" spans="2:13" s="107" customFormat="1" ht="27.75" customHeight="1">
      <c r="B117" s="122"/>
      <c r="C117" s="122"/>
      <c r="D117" s="122"/>
      <c r="J117" s="122"/>
      <c r="M117" s="122"/>
    </row>
    <row r="118" spans="2:13" s="107" customFormat="1" ht="27.75" customHeight="1">
      <c r="B118" s="122"/>
      <c r="C118" s="122"/>
      <c r="D118" s="122"/>
      <c r="J118" s="122"/>
      <c r="M118" s="122"/>
    </row>
    <row r="119" spans="2:13" s="107" customFormat="1" ht="27.75" customHeight="1">
      <c r="B119" s="122"/>
      <c r="C119" s="122"/>
      <c r="D119" s="122"/>
      <c r="J119" s="122"/>
      <c r="M119" s="122"/>
    </row>
    <row r="120" spans="2:13" s="107" customFormat="1" ht="27.75" customHeight="1">
      <c r="B120" s="122"/>
      <c r="C120" s="122"/>
      <c r="D120" s="122"/>
      <c r="J120" s="122"/>
      <c r="M120" s="122"/>
    </row>
    <row r="121" spans="2:13" s="107" customFormat="1" ht="27.75" customHeight="1">
      <c r="B121" s="122"/>
      <c r="C121" s="122"/>
      <c r="D121" s="122"/>
      <c r="J121" s="122"/>
      <c r="M121" s="122"/>
    </row>
    <row r="122" spans="2:26" s="108" customFormat="1" ht="27.75" customHeight="1">
      <c r="B122" s="60"/>
      <c r="C122" s="60"/>
      <c r="D122" s="60"/>
      <c r="J122" s="60"/>
      <c r="M122" s="60"/>
      <c r="U122" s="107"/>
      <c r="V122" s="107"/>
      <c r="W122" s="107"/>
      <c r="X122" s="107"/>
      <c r="Y122" s="107"/>
      <c r="Z122" s="107"/>
    </row>
    <row r="123" spans="2:26" s="108" customFormat="1" ht="27.75" customHeight="1">
      <c r="B123" s="60"/>
      <c r="C123" s="60"/>
      <c r="D123" s="60"/>
      <c r="J123" s="60"/>
      <c r="M123" s="60"/>
      <c r="U123" s="107"/>
      <c r="V123" s="107"/>
      <c r="W123" s="107"/>
      <c r="X123" s="107"/>
      <c r="Y123" s="107"/>
      <c r="Z123" s="107"/>
    </row>
  </sheetData>
  <sheetProtection/>
  <mergeCells count="26">
    <mergeCell ref="B6:P6"/>
    <mergeCell ref="I11:T11"/>
    <mergeCell ref="F12:G12"/>
    <mergeCell ref="I12:J12"/>
    <mergeCell ref="K12:L12"/>
    <mergeCell ref="M12:N12"/>
    <mergeCell ref="O12:P12"/>
    <mergeCell ref="Q12:R12"/>
    <mergeCell ref="S12:T12"/>
    <mergeCell ref="F18:G18"/>
    <mergeCell ref="A13:B13"/>
    <mergeCell ref="F13:G13"/>
    <mergeCell ref="A14:B14"/>
    <mergeCell ref="F14:G14"/>
    <mergeCell ref="A15:B15"/>
    <mergeCell ref="F15:G15"/>
    <mergeCell ref="C22:E22"/>
    <mergeCell ref="A19:B19"/>
    <mergeCell ref="F19:G19"/>
    <mergeCell ref="F20:G20"/>
    <mergeCell ref="F21:H21"/>
    <mergeCell ref="A16:B16"/>
    <mergeCell ref="F16:G16"/>
    <mergeCell ref="A17:B17"/>
    <mergeCell ref="F17:G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2"/>
  <sheetViews>
    <sheetView view="pageBreakPreview" zoomScale="60" zoomScalePageLayoutView="0" workbookViewId="0" topLeftCell="A1">
      <selection activeCell="Q18" sqref="Q18"/>
    </sheetView>
  </sheetViews>
  <sheetFormatPr defaultColWidth="9.00390625" defaultRowHeight="13.5"/>
  <cols>
    <col min="1" max="1" width="7.25390625" style="229" customWidth="1"/>
    <col min="2" max="2" width="9.25390625" style="228" customWidth="1"/>
    <col min="3" max="3" width="7.25390625" style="228" customWidth="1"/>
    <col min="4" max="4" width="14.375" style="228" customWidth="1"/>
    <col min="5" max="5" width="9.00390625" style="229" customWidth="1"/>
    <col min="6" max="6" width="11.75390625" style="229" customWidth="1"/>
    <col min="7" max="7" width="11.875" style="229" customWidth="1"/>
    <col min="8" max="9" width="7.375" style="229" customWidth="1"/>
    <col min="10" max="10" width="8.00390625" style="228" customWidth="1"/>
    <col min="11" max="12" width="10.375" style="229" customWidth="1"/>
    <col min="13" max="13" width="10.375" style="230" customWidth="1"/>
    <col min="14" max="16" width="10.375" style="229" customWidth="1"/>
    <col min="17" max="20" width="10.00390625" style="229" customWidth="1"/>
    <col min="21" max="26" width="9.00390625" style="232" customWidth="1"/>
    <col min="27" max="16384" width="9.00390625" style="229" customWidth="1"/>
  </cols>
  <sheetData>
    <row r="1" spans="1:20" ht="27.75" customHeight="1">
      <c r="A1" s="227" t="s">
        <v>177</v>
      </c>
      <c r="T1" s="231" t="s">
        <v>118</v>
      </c>
    </row>
    <row r="2" ht="27.75" customHeight="1">
      <c r="A2" s="233"/>
    </row>
    <row r="3" spans="1:13" ht="27.75" customHeight="1">
      <c r="A3" s="234" t="s">
        <v>57</v>
      </c>
      <c r="B3" s="235" t="s">
        <v>178</v>
      </c>
      <c r="C3" s="229"/>
      <c r="D3" s="229"/>
      <c r="J3" s="229"/>
      <c r="M3" s="229"/>
    </row>
    <row r="4" spans="1:17" ht="27.75" customHeight="1">
      <c r="A4" s="234" t="s">
        <v>58</v>
      </c>
      <c r="B4" s="236" t="s">
        <v>179</v>
      </c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17" ht="27.75" customHeight="1">
      <c r="A5" s="234"/>
      <c r="B5" s="236" t="s">
        <v>180</v>
      </c>
      <c r="C5" s="237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16" ht="27.75" customHeight="1">
      <c r="A6" s="234" t="s">
        <v>59</v>
      </c>
      <c r="B6" s="350" t="s">
        <v>171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</row>
    <row r="7" spans="1:13" ht="27.75" customHeight="1">
      <c r="A7" s="234" t="s">
        <v>60</v>
      </c>
      <c r="B7" s="238" t="s">
        <v>181</v>
      </c>
      <c r="C7" s="229"/>
      <c r="D7" s="229"/>
      <c r="J7" s="229"/>
      <c r="M7" s="229"/>
    </row>
    <row r="8" spans="1:17" ht="27.75" customHeight="1">
      <c r="A8" s="234" t="s">
        <v>61</v>
      </c>
      <c r="B8" s="236" t="s">
        <v>182</v>
      </c>
      <c r="C8" s="237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</row>
    <row r="9" spans="1:17" ht="27.75" customHeight="1">
      <c r="A9" s="238"/>
      <c r="B9" s="239" t="s">
        <v>183</v>
      </c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</row>
    <row r="10" ht="27.75" customHeight="1" thickBot="1">
      <c r="A10" s="240"/>
    </row>
    <row r="11" spans="1:26" ht="27.75" customHeight="1">
      <c r="A11" s="228"/>
      <c r="D11" s="229"/>
      <c r="F11" s="228"/>
      <c r="H11" s="241"/>
      <c r="I11" s="378" t="s">
        <v>62</v>
      </c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80"/>
      <c r="X11" s="229"/>
      <c r="Y11" s="229"/>
      <c r="Z11" s="229"/>
    </row>
    <row r="12" spans="1:26" ht="27.75" customHeight="1" thickBot="1">
      <c r="A12" s="240" t="s">
        <v>63</v>
      </c>
      <c r="D12" s="242">
        <v>-100</v>
      </c>
      <c r="E12" s="242" t="s">
        <v>64</v>
      </c>
      <c r="F12" s="381"/>
      <c r="G12" s="382"/>
      <c r="H12" s="243"/>
      <c r="I12" s="383" t="s">
        <v>65</v>
      </c>
      <c r="J12" s="384"/>
      <c r="K12" s="385" t="s">
        <v>66</v>
      </c>
      <c r="L12" s="385"/>
      <c r="M12" s="384" t="s">
        <v>67</v>
      </c>
      <c r="N12" s="384"/>
      <c r="O12" s="385" t="s">
        <v>68</v>
      </c>
      <c r="P12" s="385"/>
      <c r="Q12" s="385" t="s">
        <v>69</v>
      </c>
      <c r="R12" s="385"/>
      <c r="S12" s="384" t="s">
        <v>70</v>
      </c>
      <c r="T12" s="386"/>
      <c r="X12" s="229"/>
      <c r="Y12" s="229"/>
      <c r="Z12" s="229"/>
    </row>
    <row r="13" spans="1:26" ht="27.75" customHeight="1" thickBot="1">
      <c r="A13" s="371" t="s">
        <v>71</v>
      </c>
      <c r="B13" s="372"/>
      <c r="C13" s="245" t="s">
        <v>72</v>
      </c>
      <c r="D13" s="242">
        <v>-20</v>
      </c>
      <c r="E13" s="242" t="s">
        <v>73</v>
      </c>
      <c r="F13" s="373" t="s">
        <v>71</v>
      </c>
      <c r="G13" s="374"/>
      <c r="H13" s="244" t="s">
        <v>72</v>
      </c>
      <c r="I13" s="246" t="s">
        <v>74</v>
      </c>
      <c r="J13" s="247" t="s">
        <v>75</v>
      </c>
      <c r="K13" s="248" t="s">
        <v>74</v>
      </c>
      <c r="L13" s="249" t="s">
        <v>75</v>
      </c>
      <c r="M13" s="250" t="s">
        <v>74</v>
      </c>
      <c r="N13" s="249" t="s">
        <v>75</v>
      </c>
      <c r="O13" s="250" t="s">
        <v>74</v>
      </c>
      <c r="P13" s="247" t="s">
        <v>75</v>
      </c>
      <c r="Q13" s="248" t="s">
        <v>74</v>
      </c>
      <c r="R13" s="249" t="s">
        <v>75</v>
      </c>
      <c r="S13" s="250" t="s">
        <v>74</v>
      </c>
      <c r="T13" s="251" t="s">
        <v>75</v>
      </c>
      <c r="X13" s="229"/>
      <c r="Y13" s="229"/>
      <c r="Z13" s="229"/>
    </row>
    <row r="14" spans="1:26" ht="27.75" customHeight="1">
      <c r="A14" s="375" t="s">
        <v>76</v>
      </c>
      <c r="B14" s="376"/>
      <c r="C14" s="252" t="s">
        <v>77</v>
      </c>
      <c r="D14" s="242">
        <v>-15</v>
      </c>
      <c r="E14" s="242" t="s">
        <v>78</v>
      </c>
      <c r="F14" s="375" t="s">
        <v>76</v>
      </c>
      <c r="G14" s="377"/>
      <c r="H14" s="253" t="s">
        <v>77</v>
      </c>
      <c r="I14" s="254">
        <f>_xlfn.COUNTIFS($C$25:$C$62,"=5",$E$25:$E$62,"=男",$N$25:$N$62,"=ふとりすぎ")</f>
        <v>0</v>
      </c>
      <c r="J14" s="255">
        <f>_xlfn.COUNTIFS($C$25:$C$62,"=5",$E$25:$E$62,"=女",$N$25:$N$62,"=ふとりすぎ")</f>
        <v>0</v>
      </c>
      <c r="K14" s="256">
        <f>_xlfn.COUNTIFS($C$25:$C$62,"=4",$E$25:$E$62,"=男",$N$25:$N$62,"=ふとりすぎ")</f>
        <v>0</v>
      </c>
      <c r="L14" s="255">
        <f>_xlfn.COUNTIFS($C$25:$C$62,"=4",$E$25:$E$62,"=女",$N$25:$N$62,"=ふとりすぎ")</f>
        <v>0</v>
      </c>
      <c r="M14" s="256">
        <f>_xlfn.COUNTIFS($C$25:$C$62,"=3",$E$25:$E$62,"=男",$N$25:$N$62,"=ふとりすぎ")</f>
        <v>0</v>
      </c>
      <c r="N14" s="255">
        <f>_xlfn.COUNTIFS($C$25:$C$62,"=3",$E$25:$E$62,"=女",$N$25:$N$62,"=ふとりすぎ")</f>
        <v>0</v>
      </c>
      <c r="O14" s="256">
        <f>_xlfn.COUNTIFS($C$25:$C$62,"=2",$E$25:$E$62,"=男",$N$25:$N$62,"=ふとりすぎ")</f>
        <v>0</v>
      </c>
      <c r="P14" s="255">
        <f>_xlfn.COUNTIFS($C$25:$C$62,"=2",$E$25:$E$62,"=女",$N$25:$N$62,"=ふとりすぎ")</f>
        <v>0</v>
      </c>
      <c r="Q14" s="256">
        <f>_xlfn.COUNTIFS($C$25:$C$62,"=1",$E$25:$E$62,"=男",$N$25:$N$62,"=ふとりすぎ")</f>
        <v>0</v>
      </c>
      <c r="R14" s="255">
        <f>_xlfn.COUNTIFS($C$25:$C$62,"=1",$E$25:$E$62,"=女",$N$25:$N$62,"=ふとりすぎ")</f>
        <v>0</v>
      </c>
      <c r="S14" s="256">
        <f>_xlfn.COUNTIFS($C$25:$C$62,"=0",$E$25:$E$62,"=男",$N$25:$N$62,"=ふとりすぎ")</f>
        <v>0</v>
      </c>
      <c r="T14" s="257">
        <f>_xlfn.COUNTIFS($C$25:$C$62,"=0",$E$25:$E$62,"=女",$N$25:$N$62,"=ふとりすぎ")</f>
        <v>0</v>
      </c>
      <c r="X14" s="229"/>
      <c r="Y14" s="229"/>
      <c r="Z14" s="229"/>
    </row>
    <row r="15" spans="1:26" ht="27.75" customHeight="1">
      <c r="A15" s="368" t="s">
        <v>80</v>
      </c>
      <c r="B15" s="369"/>
      <c r="C15" s="258" t="s">
        <v>81</v>
      </c>
      <c r="D15" s="242">
        <v>15</v>
      </c>
      <c r="E15" s="242" t="s">
        <v>82</v>
      </c>
      <c r="F15" s="368" t="s">
        <v>80</v>
      </c>
      <c r="G15" s="370"/>
      <c r="H15" s="259" t="s">
        <v>81</v>
      </c>
      <c r="I15" s="260">
        <f>_xlfn.COUNTIFS($C$25:$C$62,"=5",$E$25:$E$62,"=男",$N$25:$N$62,"=ややふとりすぎ")</f>
        <v>0</v>
      </c>
      <c r="J15" s="261">
        <f>_xlfn.COUNTIFS($C$25:$C$62,"=5",$E$25:$E$62,"=女",$N$25:$N$62,"=ややふとりすぎ")</f>
        <v>0</v>
      </c>
      <c r="K15" s="262">
        <f>_xlfn.COUNTIFS($C$25:$C$62,"=4",$E$25:$E$62,"=男",$N$25:$N$62,"=ややふとりすぎ")</f>
        <v>0</v>
      </c>
      <c r="L15" s="261">
        <f>_xlfn.COUNTIFS($C$25:$C$62,"=4",$E$25:$E$62,"=女",$N$25:$N$62,"=ややふとりすぎ")</f>
        <v>0</v>
      </c>
      <c r="M15" s="262">
        <f>_xlfn.COUNTIFS($C$25:$C$62,"=3",$E$25:$E$62,"=男",$N$25:$N$62,"=ややふとりすぎ")</f>
        <v>0</v>
      </c>
      <c r="N15" s="261">
        <f>_xlfn.COUNTIFS($C$25:$C$62,"=3",$E$25:$E$62,"=女",$N$25:$N$62,"=ややふとりすぎ")</f>
        <v>0</v>
      </c>
      <c r="O15" s="262">
        <f>_xlfn.COUNTIFS($C$25:$C$62,"=2",$E$25:$E$62,"=男",$N$25:$N$62,"=ややふとりすぎ")</f>
        <v>0</v>
      </c>
      <c r="P15" s="261">
        <f>_xlfn.COUNTIFS($C$25:$C$62,"=2",$E$25:$E$62,"=女",$N$25:$N$62,"=ややふとりすぎ")</f>
        <v>0</v>
      </c>
      <c r="Q15" s="262">
        <f>_xlfn.COUNTIFS($C$25:$C$62,"=1",$E$25:$E$62,"=男",$N$25:$N$62,"=ややふとりすぎ")</f>
        <v>0</v>
      </c>
      <c r="R15" s="261">
        <f>_xlfn.COUNTIFS($C$25:$C$62,"=1",$E$25:$E$62,"=女",$N$25:$N$62,"=ややふとりすぎ")</f>
        <v>0</v>
      </c>
      <c r="S15" s="262">
        <f>_xlfn.COUNTIFS($C$25:$C$62,"=0",$E$25:$E$62,"=男",$N$25:$N$62,"=ややふとりすぎ")</f>
        <v>0</v>
      </c>
      <c r="T15" s="263">
        <f>_xlfn.COUNTIFS($C$25:$C$62,"=0",$E$25:$E$62,"=女",$N$25:$N$62,"=ややふとりすぎ")</f>
        <v>0</v>
      </c>
      <c r="X15" s="229"/>
      <c r="Y15" s="229"/>
      <c r="Z15" s="229"/>
    </row>
    <row r="16" spans="1:26" ht="27.75" customHeight="1">
      <c r="A16" s="368" t="s">
        <v>83</v>
      </c>
      <c r="B16" s="369"/>
      <c r="C16" s="258" t="s">
        <v>82</v>
      </c>
      <c r="D16" s="242">
        <v>20</v>
      </c>
      <c r="E16" s="264" t="s">
        <v>81</v>
      </c>
      <c r="F16" s="368" t="s">
        <v>83</v>
      </c>
      <c r="G16" s="370"/>
      <c r="H16" s="259" t="s">
        <v>82</v>
      </c>
      <c r="I16" s="260">
        <f>_xlfn.COUNTIFS($C$25:$C$62,"=5",$E$25:$E$62,"=男",$N$25:$N$62,"=ふとりぎみ")</f>
        <v>0</v>
      </c>
      <c r="J16" s="261">
        <f>_xlfn.COUNTIFS($C$25:$C$62,"=5",$E$25:$E$62,"=女",$N$25:$N$62,"=ふとりぎみ")</f>
        <v>0</v>
      </c>
      <c r="K16" s="262">
        <f>_xlfn.COUNTIFS($C$25:$C$62,"=4",$E$25:$E$62,"=男",$N$25:$N$62,"=ふとりぎみ")</f>
        <v>0</v>
      </c>
      <c r="L16" s="261">
        <f>_xlfn.COUNTIFS($C$25:$C$62,"=4",$E$25:$E$62,"=女",$N$25:$N$62,"=ふとりぎみ")</f>
        <v>0</v>
      </c>
      <c r="M16" s="262">
        <f>_xlfn.COUNTIFS($C$25:$C$62,"=3",$E$25:$E$62,"=男",$N$25:$N$62,"=ふとりぎみ")</f>
        <v>0</v>
      </c>
      <c r="N16" s="261">
        <f>_xlfn.COUNTIFS($C$25:$C$62,"=3",$E$25:$E$62,"=女",$N$25:$N$62,"=ふとりぎみ")</f>
        <v>0</v>
      </c>
      <c r="O16" s="262">
        <f>_xlfn.COUNTIFS($C$25:$C$62,"=2",$E$25:$E$62,"=男",$N$25:$N$62,"=ふとりぎみ")</f>
        <v>0</v>
      </c>
      <c r="P16" s="261">
        <f>_xlfn.COUNTIFS($C$25:$C$62,"=2",$E$25:$E$62,"=女",$N$25:$N$62,"=ふとりぎみ")</f>
        <v>0</v>
      </c>
      <c r="Q16" s="262">
        <f>_xlfn.COUNTIFS($C$25:$C$62,"=1",$E$25:$E$62,"=男",$N$25:$N$62,"=ふとりぎみ")</f>
        <v>0</v>
      </c>
      <c r="R16" s="261">
        <f>_xlfn.COUNTIFS($C$25:$C$62,"=1",$E$25:$E$62,"=女",$N$25:$N$62,"=ふとりぎみ")</f>
        <v>0</v>
      </c>
      <c r="S16" s="262">
        <f>_xlfn.COUNTIFS($C$25:$C$62,"=0",$E$25:$E$62,"=男",$N$25:$N$62,"=ふとりぎみ")</f>
        <v>0</v>
      </c>
      <c r="T16" s="263">
        <f>_xlfn.COUNTIFS($C$25:$C$62,"=0",$E$25:$E$62,"=女",$N$25:$N$62,"=ふとりぎみ")</f>
        <v>0</v>
      </c>
      <c r="X16" s="229"/>
      <c r="Y16" s="229"/>
      <c r="Z16" s="229"/>
    </row>
    <row r="17" spans="1:26" ht="27.75" customHeight="1">
      <c r="A17" s="368" t="s">
        <v>86</v>
      </c>
      <c r="B17" s="369"/>
      <c r="C17" s="258" t="s">
        <v>78</v>
      </c>
      <c r="D17" s="242">
        <v>30</v>
      </c>
      <c r="E17" s="242" t="s">
        <v>77</v>
      </c>
      <c r="F17" s="368" t="s">
        <v>86</v>
      </c>
      <c r="G17" s="370"/>
      <c r="H17" s="259" t="s">
        <v>78</v>
      </c>
      <c r="I17" s="260">
        <f>_xlfn.COUNTIFS($C$25:$C$62,"=5",$E$25:$E$62,"=男",$N$25:$N$62,"=ふつう")</f>
        <v>0</v>
      </c>
      <c r="J17" s="261">
        <f>_xlfn.COUNTIFS($C$25:$C$62,"=5",$E$25:$E$62,"=女",$N$25:$N$62,"=ふつう")</f>
        <v>0</v>
      </c>
      <c r="K17" s="262">
        <f>_xlfn.COUNTIFS($C$25:$C$62,"=4",$E$25:$E$62,"=男",$N$25:$N$62,"=ふつう")</f>
        <v>0</v>
      </c>
      <c r="L17" s="261">
        <f>_xlfn.COUNTIFS($C$25:$C$62,"=4",$E$25:$E$62,"=女",$N$25:$N$62,"=ふつう")</f>
        <v>0</v>
      </c>
      <c r="M17" s="262">
        <f>_xlfn.COUNTIFS($C$25:$C$62,"=3",$E$25:$E$62,"=男",$N$25:$N$62,"=ふつう")</f>
        <v>0</v>
      </c>
      <c r="N17" s="261">
        <f>_xlfn.COUNTIFS($C$25:$C$62,"=3",$E$25:$E$62,"=女",$N$25:$N$62,"=ふつう")</f>
        <v>0</v>
      </c>
      <c r="O17" s="262">
        <f>_xlfn.COUNTIFS($C$25:$C$62,"=2",$E$25:$E$62,"=男",$N$25:$N$62,"=ふつう")</f>
        <v>0</v>
      </c>
      <c r="P17" s="261">
        <f>_xlfn.COUNTIFS($C$25:$C$62,"=2",$E$25:$E$62,"=女",$N$25:$N$62,"=ふつう")</f>
        <v>0</v>
      </c>
      <c r="Q17" s="262">
        <f>_xlfn.COUNTIFS($C$25:$C$62,"=1",$E$25:$E$62,"=男",$N$25:$N$62,"=ふつう")</f>
        <v>0</v>
      </c>
      <c r="R17" s="261">
        <f>_xlfn.COUNTIFS($C$25:$C$62,"=1",$E$25:$E$62,"=女",$N$25:$N$62,"=ふつう")</f>
        <v>0</v>
      </c>
      <c r="S17" s="262">
        <f>_xlfn.COUNTIFS($C$25:$C$62,"=0",$E$25:$E$62,"=男",$N$25:$N$62,"=ふつう")</f>
        <v>0</v>
      </c>
      <c r="T17" s="263">
        <f>_xlfn.COUNTIFS($C$25:$C$62,"=0",$E$25:$E$62,"=女",$N$25:$N$62,"=ふつう")</f>
        <v>0</v>
      </c>
      <c r="X17" s="229"/>
      <c r="Y17" s="229"/>
      <c r="Z17" s="229"/>
    </row>
    <row r="18" spans="1:26" ht="27.75" customHeight="1">
      <c r="A18" s="368" t="s">
        <v>89</v>
      </c>
      <c r="B18" s="369"/>
      <c r="C18" s="258" t="s">
        <v>73</v>
      </c>
      <c r="D18" s="229"/>
      <c r="F18" s="368" t="s">
        <v>89</v>
      </c>
      <c r="G18" s="370"/>
      <c r="H18" s="259" t="s">
        <v>73</v>
      </c>
      <c r="I18" s="260">
        <f>_xlfn.COUNTIFS($C$25:$C$62,"=5",$E$25:$E$62,"=男",$N$25:$N$62,"=やせ")</f>
        <v>0</v>
      </c>
      <c r="J18" s="261">
        <f>_xlfn.COUNTIFS($C$25:$C$62,"=5",$E$25:$E$62,"=女",$N$25:$N$62,"=やせ")</f>
        <v>0</v>
      </c>
      <c r="K18" s="262">
        <f>_xlfn.COUNTIFS($C$25:$C$62,"=4",$E$25:$E$62,"=男",$N$25:$N$62,"=やせ")</f>
        <v>0</v>
      </c>
      <c r="L18" s="261">
        <f>_xlfn.COUNTIFS($C$25:$C$62,"=4",$E$25:$E$62,"=女",$N$25:$N$62,"=やせ")</f>
        <v>0</v>
      </c>
      <c r="M18" s="262">
        <f>_xlfn.COUNTIFS($C$25:$C$62,"=3",$E$25:$E$62,"=男",$N$25:$N$62,"=やせ")</f>
        <v>0</v>
      </c>
      <c r="N18" s="261">
        <f>_xlfn.COUNTIFS($C$25:$C$62,"=3",$E$25:$E$62,"=女",$N$25:$N$62,"=やせ")</f>
        <v>0</v>
      </c>
      <c r="O18" s="262">
        <f>_xlfn.COUNTIFS($C$25:$C$62,"=2",$E$25:$E$62,"=男",$N$25:$N$62,"=やせ")</f>
        <v>0</v>
      </c>
      <c r="P18" s="261">
        <f>_xlfn.COUNTIFS($C$25:$C$62,"=2",$E$25:$E$62,"=女",$N$25:$N$62,"=やせ")</f>
        <v>0</v>
      </c>
      <c r="Q18" s="262">
        <f>_xlfn.COUNTIFS($C$25:$C$62,"=1",$E$25:$E$62,"=男",$N$25:$N$62,"=やせ")</f>
        <v>0</v>
      </c>
      <c r="R18" s="261">
        <f>_xlfn.COUNTIFS($C$25:$C$62,"=1",$E$25:$E$62,"=女",$N$25:$N$62,"=やせ")</f>
        <v>0</v>
      </c>
      <c r="S18" s="262">
        <f>_xlfn.COUNTIFS($C$25:$C$62,"=0",$E$25:$E$62,"=男",$N$25:$N$62,"=やせ")</f>
        <v>0</v>
      </c>
      <c r="T18" s="263">
        <f>_xlfn.COUNTIFS($C$25:$C$62,"=0",$E$25:$E$62,"=女",$N$25:$N$62,"=やせ")</f>
        <v>0</v>
      </c>
      <c r="X18" s="229"/>
      <c r="Y18" s="229"/>
      <c r="Z18" s="229"/>
    </row>
    <row r="19" spans="1:26" ht="27.75" customHeight="1" thickBot="1">
      <c r="A19" s="360" t="s">
        <v>91</v>
      </c>
      <c r="B19" s="361"/>
      <c r="C19" s="265" t="s">
        <v>64</v>
      </c>
      <c r="D19" s="229"/>
      <c r="F19" s="362" t="s">
        <v>91</v>
      </c>
      <c r="G19" s="363"/>
      <c r="H19" s="266" t="s">
        <v>64</v>
      </c>
      <c r="I19" s="260">
        <f>_xlfn.COUNTIFS($C$25:$C$62,"=5",$E$25:$E$62,"=男",$N$25:$N$62,"=やせすぎ")</f>
        <v>0</v>
      </c>
      <c r="J19" s="261">
        <f>_xlfn.COUNTIFS($C$25:$C$62,"=5",$E$25:$E$62,"=女",$N$25:$N$62,"=やせすぎ")</f>
        <v>0</v>
      </c>
      <c r="K19" s="262">
        <f>_xlfn.COUNTIFS($C$25:$C$62,"=4",$E$25:$E$62,"=男",$N$25:$N$62,"=やせすぎ")</f>
        <v>0</v>
      </c>
      <c r="L19" s="261">
        <f>_xlfn.COUNTIFS($C$25:$C$62,"=4",$E$25:$E$62,"=女",$N$25:$N$62,"=やせすぎ")</f>
        <v>0</v>
      </c>
      <c r="M19" s="262">
        <f>_xlfn.COUNTIFS($C$25:$C$62,"=3",$E$25:$E$62,"=男",$N$25:$N$62,"=やせすぎ")</f>
        <v>0</v>
      </c>
      <c r="N19" s="261">
        <f>_xlfn.COUNTIFS($C$25:$C$62,"=3",$E$25:$E$62,"=女",$N$25:$N$62,"=やせすぎ")</f>
        <v>0</v>
      </c>
      <c r="O19" s="262">
        <f>_xlfn.COUNTIFS($C$25:$C$62,"=2",$E$25:$E$62,"=男",$N$25:$N$62,"=やせすぎ")</f>
        <v>0</v>
      </c>
      <c r="P19" s="261">
        <f>_xlfn.COUNTIFS($C$25:$C$62,"=2",$E$25:$E$62,"=女",$N$25:$N$62,"=やせすぎ")</f>
        <v>0</v>
      </c>
      <c r="Q19" s="262">
        <f>_xlfn.COUNTIFS($C$25:$C$62,"=1",$E$25:$E$62,"=男",$N$25:$N$62,"=やせすぎ")</f>
        <v>0</v>
      </c>
      <c r="R19" s="261">
        <f>_xlfn.COUNTIFS($C$25:$C$62,"=1",$E$25:$E$62,"=女",$N$25:$N$62,"=やせすぎ")</f>
        <v>0</v>
      </c>
      <c r="S19" s="262">
        <f>_xlfn.COUNTIFS($C$25:$C$62,"=0",$E$25:$E$62,"=男",$N$25:$N$62,"=やせすぎ")</f>
        <v>0</v>
      </c>
      <c r="T19" s="263">
        <f>_xlfn.COUNTIFS($C$25:$C$62,"=0",$E$25:$E$62,"=女",$N$25:$N$62,"=やせすぎ")</f>
        <v>0</v>
      </c>
      <c r="X19" s="229"/>
      <c r="Y19" s="229"/>
      <c r="Z19" s="229"/>
    </row>
    <row r="20" spans="1:26" ht="27.75" customHeight="1" thickBot="1">
      <c r="A20" s="267"/>
      <c r="B20" s="267"/>
      <c r="C20" s="267"/>
      <c r="D20" s="229"/>
      <c r="F20" s="360" t="s">
        <v>94</v>
      </c>
      <c r="G20" s="364"/>
      <c r="H20" s="268" t="s">
        <v>95</v>
      </c>
      <c r="I20" s="269">
        <f>_xlfn.COUNTIFS($C$25:$C$62,"=5",$E$25:$E$62,"=男",$N$25:$N$62,"=測定不可")</f>
        <v>0</v>
      </c>
      <c r="J20" s="270">
        <f>_xlfn.COUNTIFS($C$25:$C$62,"=5",$E$25:$E$62,"=女",$N$25:$N$62,"=測定不可")</f>
        <v>0</v>
      </c>
      <c r="K20" s="271">
        <f>_xlfn.COUNTIFS($C$25:$C$62,"=4",$E$25:$E$62,"=男",$N$25:$N$62,"=測定不可")</f>
        <v>0</v>
      </c>
      <c r="L20" s="270">
        <f>_xlfn.COUNTIFS($C$25:$C$62,"=4",$E$25:$E$62,"=女",$N$25:$N$62,"=測定不可")</f>
        <v>0</v>
      </c>
      <c r="M20" s="271">
        <f>_xlfn.COUNTIFS($C$25:$C$62,"=3",$E$25:$E$62,"=男",$N$25:$N$62,"=測定不可")</f>
        <v>0</v>
      </c>
      <c r="N20" s="270">
        <f>_xlfn.COUNTIFS($C$25:$C$62,"=3",$E$25:$E$62,"=女",$N$25:$N$62,"=測定不可")</f>
        <v>0</v>
      </c>
      <c r="O20" s="271">
        <f>_xlfn.COUNTIFS($C$25:$C$62,"=2",$E$25:$E$62,"=男",$N$25:$N$62,"=測定不可")</f>
        <v>0</v>
      </c>
      <c r="P20" s="270">
        <f>_xlfn.COUNTIFS($C$25:$C$62,"=2",$E$25:$E$62,"=女",$N$25:$N$62,"=測定不可")</f>
        <v>0</v>
      </c>
      <c r="Q20" s="271">
        <f>_xlfn.COUNTIFS($C$25:$C$62,"=1",$E$25:$E$62,"=男",$N$25:$N$62,"=測定不可")</f>
        <v>0</v>
      </c>
      <c r="R20" s="270">
        <f>_xlfn.COUNTIFS($C$25:$C$62,"=1",$E$25:$E$62,"=女",$N$25:$N$62,"=測定不可")</f>
        <v>0</v>
      </c>
      <c r="S20" s="271">
        <f>_xlfn.COUNTIFS($C$25:$C$62,"=0",$E$25:$E$62,"=男",$N$25:$N$62,"=測定不可")</f>
        <v>0</v>
      </c>
      <c r="T20" s="272">
        <f>_xlfn.COUNTIFS($C$25:$C$62,"=0",$E$25:$E$62,"=女",$N$25:$N$62,"=測定不可")</f>
        <v>0</v>
      </c>
      <c r="X20" s="229"/>
      <c r="Y20" s="229"/>
      <c r="Z20" s="229"/>
    </row>
    <row r="21" spans="1:26" ht="27.75" customHeight="1" thickBot="1">
      <c r="A21" s="267"/>
      <c r="B21" s="267"/>
      <c r="C21" s="267"/>
      <c r="D21" s="229"/>
      <c r="F21" s="365" t="s">
        <v>96</v>
      </c>
      <c r="G21" s="366"/>
      <c r="H21" s="366"/>
      <c r="I21" s="273">
        <f>SUM(I14:I20)</f>
        <v>0</v>
      </c>
      <c r="J21" s="274">
        <f aca="true" t="shared" si="0" ref="J21:T21">SUM(J14:J20)</f>
        <v>0</v>
      </c>
      <c r="K21" s="275">
        <f t="shared" si="0"/>
        <v>0</v>
      </c>
      <c r="L21" s="274">
        <f t="shared" si="0"/>
        <v>0</v>
      </c>
      <c r="M21" s="275">
        <f t="shared" si="0"/>
        <v>0</v>
      </c>
      <c r="N21" s="274">
        <f t="shared" si="0"/>
        <v>0</v>
      </c>
      <c r="O21" s="275">
        <f t="shared" si="0"/>
        <v>0</v>
      </c>
      <c r="P21" s="274">
        <f>SUM(P14:P20)</f>
        <v>0</v>
      </c>
      <c r="Q21" s="275">
        <f t="shared" si="0"/>
        <v>0</v>
      </c>
      <c r="R21" s="274">
        <f t="shared" si="0"/>
        <v>0</v>
      </c>
      <c r="S21" s="275">
        <f t="shared" si="0"/>
        <v>0</v>
      </c>
      <c r="T21" s="276">
        <f t="shared" si="0"/>
        <v>0</v>
      </c>
      <c r="X21" s="229"/>
      <c r="Y21" s="229"/>
      <c r="Z21" s="229"/>
    </row>
    <row r="22" spans="1:26" ht="27.75" customHeight="1">
      <c r="A22" s="267"/>
      <c r="B22" s="267"/>
      <c r="C22" s="267"/>
      <c r="D22" s="229"/>
      <c r="F22" s="267"/>
      <c r="G22" s="267"/>
      <c r="H22" s="277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X22" s="229"/>
      <c r="Y22" s="229"/>
      <c r="Z22" s="229"/>
    </row>
    <row r="23" spans="1:16" ht="27.75" customHeight="1" thickBot="1">
      <c r="A23" s="101" t="s">
        <v>170</v>
      </c>
      <c r="B23" s="279"/>
      <c r="C23" s="367"/>
      <c r="D23" s="367"/>
      <c r="E23" s="367"/>
      <c r="F23" s="279"/>
      <c r="J23" s="267"/>
      <c r="K23" s="267"/>
      <c r="L23" s="280"/>
      <c r="M23" s="280"/>
      <c r="N23" s="280"/>
      <c r="O23" s="280"/>
      <c r="P23" s="280"/>
    </row>
    <row r="24" spans="1:26" s="2" customFormat="1" ht="48" customHeight="1" thickBot="1">
      <c r="A24" s="281" t="s">
        <v>125</v>
      </c>
      <c r="B24" s="282" t="s">
        <v>55</v>
      </c>
      <c r="C24" s="282" t="s">
        <v>97</v>
      </c>
      <c r="D24" s="282" t="s">
        <v>56</v>
      </c>
      <c r="E24" s="283" t="s">
        <v>126</v>
      </c>
      <c r="F24" s="283" t="s">
        <v>127</v>
      </c>
      <c r="G24" s="283" t="s">
        <v>128</v>
      </c>
      <c r="H24" s="282" t="s">
        <v>129</v>
      </c>
      <c r="I24" s="284" t="s">
        <v>130</v>
      </c>
      <c r="J24" s="281" t="s">
        <v>131</v>
      </c>
      <c r="K24" s="282" t="s">
        <v>98</v>
      </c>
      <c r="L24" s="283" t="s">
        <v>172</v>
      </c>
      <c r="M24" s="283" t="s">
        <v>132</v>
      </c>
      <c r="N24" s="285" t="s">
        <v>99</v>
      </c>
      <c r="O24" s="283" t="s">
        <v>100</v>
      </c>
      <c r="P24" s="283" t="s">
        <v>101</v>
      </c>
      <c r="Q24" s="283" t="s">
        <v>102</v>
      </c>
      <c r="R24" s="283" t="s">
        <v>103</v>
      </c>
      <c r="S24" s="283" t="s">
        <v>173</v>
      </c>
      <c r="T24" s="286" t="s">
        <v>174</v>
      </c>
      <c r="U24" s="61"/>
      <c r="V24" s="61"/>
      <c r="W24" s="61"/>
      <c r="X24" s="61"/>
      <c r="Y24" s="61"/>
      <c r="Z24" s="61"/>
    </row>
    <row r="25" spans="1:26" s="303" customFormat="1" ht="27.75" customHeight="1">
      <c r="A25" s="287"/>
      <c r="B25" s="288"/>
      <c r="C25" s="288"/>
      <c r="D25" s="288"/>
      <c r="E25" s="289"/>
      <c r="F25" s="290"/>
      <c r="G25" s="290"/>
      <c r="H25" s="288"/>
      <c r="I25" s="291"/>
      <c r="J25" s="292">
        <f aca="true" t="shared" si="1" ref="J25:J62">IF(OR(F25="",G25=""),"",DATEDIF(F25,G25,"Y"))</f>
      </c>
      <c r="K25" s="293">
        <f>IF(OR(J25=""),"",IF(J25&gt;=3,"以上児","未満児"))</f>
      </c>
      <c r="L25" s="294">
        <f aca="true" t="shared" si="2" ref="L25:L62">IF(OR(J25=""),"",IF(E25="男",0.00206*H25*H25-0.1166*H25+6.5273,0.00249*H25*H25-0.1858*H25+9.036))</f>
      </c>
      <c r="M25" s="295">
        <f aca="true" t="shared" si="3" ref="M25:M62">IF(OR(J25=""),"",IF(H25&gt;=70,(I25-L25)/L25*100,"測定不可"))</f>
      </c>
      <c r="N25" s="296">
        <f>IF(OR(J25=""),"",IF(M25="測定不可","測定不可",VLOOKUP(M25,$D$12:$E$17,2,TRUE)))</f>
      </c>
      <c r="O25" s="297">
        <f aca="true" t="shared" si="4" ref="O25:O62">IF(OR(J25=""),"",IF(AND(E25="男",J25&lt;=2),61,IF(AND(E25="男",J25&gt;=3),54.8,IF(AND(E25="女",J25&lt;=2),59.7,52.2))))</f>
      </c>
      <c r="P25" s="298">
        <f>IF(OR(J25=""),"",L25*O25)</f>
      </c>
      <c r="Q25" s="299">
        <f>IF(OR(J25=""),"",IF(J25&gt;=3,1.45,1.35))</f>
      </c>
      <c r="R25" s="300">
        <f aca="true" t="shared" si="5" ref="R25:R62">IF(OR(J25=""),"",IF(AND(E25="男",J25&lt;=2),20,IF(AND(E25="女",J25&lt;=2),15,10)))</f>
      </c>
      <c r="S25" s="298">
        <f>IF(OR(J25=""),"",P25*Q25+R25)</f>
      </c>
      <c r="T25" s="301">
        <f>IF(OR(J25=""),"",CEILING(S25,50))</f>
      </c>
      <c r="U25" s="302"/>
      <c r="V25" s="302"/>
      <c r="W25" s="302"/>
      <c r="X25" s="302"/>
      <c r="Y25" s="302"/>
      <c r="Z25" s="302"/>
    </row>
    <row r="26" spans="1:26" s="303" customFormat="1" ht="27.75" customHeight="1">
      <c r="A26" s="287"/>
      <c r="B26" s="288"/>
      <c r="C26" s="288"/>
      <c r="D26" s="288"/>
      <c r="E26" s="289"/>
      <c r="F26" s="290"/>
      <c r="G26" s="290"/>
      <c r="H26" s="304"/>
      <c r="I26" s="305"/>
      <c r="J26" s="306">
        <f t="shared" si="1"/>
      </c>
      <c r="K26" s="307">
        <f>IF(OR(J26=""),"",IF(J26&gt;=3,"以上児","未満児"))</f>
      </c>
      <c r="L26" s="308">
        <f t="shared" si="2"/>
      </c>
      <c r="M26" s="295">
        <f t="shared" si="3"/>
      </c>
      <c r="N26" s="309">
        <f>IF(OR(J26=""),"",IF(M26="測定不可","測定不可",VLOOKUP(M26,$D$12:$E$17,2,TRUE)))</f>
      </c>
      <c r="O26" s="310">
        <f t="shared" si="4"/>
      </c>
      <c r="P26" s="298">
        <f>IF(OR(J26=""),"",L26*O26)</f>
      </c>
      <c r="Q26" s="311">
        <f>IF(OR(J26=""),"",IF(J26&gt;=3,1.45,1.35))</f>
      </c>
      <c r="R26" s="300">
        <f t="shared" si="5"/>
      </c>
      <c r="S26" s="298">
        <f>IF(OR(J26=""),"",P26*Q26+R26)</f>
      </c>
      <c r="T26" s="312">
        <f>IF(OR(J26=""),"",CEILING(S26,50))</f>
      </c>
      <c r="U26" s="302"/>
      <c r="V26" s="302"/>
      <c r="W26" s="302"/>
      <c r="X26" s="302"/>
      <c r="Y26" s="302"/>
      <c r="Z26" s="302"/>
    </row>
    <row r="27" spans="1:26" s="303" customFormat="1" ht="27.75" customHeight="1">
      <c r="A27" s="287"/>
      <c r="B27" s="288"/>
      <c r="C27" s="288"/>
      <c r="D27" s="304"/>
      <c r="E27" s="313"/>
      <c r="F27" s="290"/>
      <c r="G27" s="290"/>
      <c r="H27" s="304"/>
      <c r="I27" s="305"/>
      <c r="J27" s="306">
        <f t="shared" si="1"/>
      </c>
      <c r="K27" s="307">
        <f aca="true" t="shared" si="6" ref="K27:K62">IF(OR(J27=""),"",IF(J27&gt;=3,"以上児","未満児"))</f>
      </c>
      <c r="L27" s="308">
        <f t="shared" si="2"/>
      </c>
      <c r="M27" s="295">
        <f t="shared" si="3"/>
      </c>
      <c r="N27" s="309">
        <f aca="true" t="shared" si="7" ref="N27:N62">IF(OR(J27=""),"",IF(M27="測定不可","測定不可",VLOOKUP(M27,$D$12:$E$17,2,TRUE)))</f>
      </c>
      <c r="O27" s="310">
        <f t="shared" si="4"/>
      </c>
      <c r="P27" s="298">
        <f aca="true" t="shared" si="8" ref="P27:P62">IF(OR(J27=""),"",L27*O27)</f>
      </c>
      <c r="Q27" s="311">
        <f aca="true" t="shared" si="9" ref="Q27:Q62">IF(OR(J27=""),"",IF(J27&gt;=3,1.45,1.35))</f>
      </c>
      <c r="R27" s="300">
        <f t="shared" si="5"/>
      </c>
      <c r="S27" s="298">
        <f aca="true" t="shared" si="10" ref="S27:S62">IF(OR(J27=""),"",P27*Q27+R27)</f>
      </c>
      <c r="T27" s="312">
        <f aca="true" t="shared" si="11" ref="T27:T62">IF(OR(J27=""),"",CEILING(S27,50))</f>
      </c>
      <c r="U27" s="302"/>
      <c r="V27" s="302"/>
      <c r="W27" s="302"/>
      <c r="X27" s="302"/>
      <c r="Y27" s="302"/>
      <c r="Z27" s="302"/>
    </row>
    <row r="28" spans="1:26" s="303" customFormat="1" ht="27.75" customHeight="1">
      <c r="A28" s="287"/>
      <c r="B28" s="288"/>
      <c r="C28" s="288"/>
      <c r="D28" s="304"/>
      <c r="E28" s="289"/>
      <c r="F28" s="290"/>
      <c r="G28" s="290"/>
      <c r="H28" s="304"/>
      <c r="I28" s="305"/>
      <c r="J28" s="306">
        <f t="shared" si="1"/>
      </c>
      <c r="K28" s="307">
        <f t="shared" si="6"/>
      </c>
      <c r="L28" s="308">
        <f t="shared" si="2"/>
      </c>
      <c r="M28" s="295">
        <f t="shared" si="3"/>
      </c>
      <c r="N28" s="309">
        <f t="shared" si="7"/>
      </c>
      <c r="O28" s="310">
        <f t="shared" si="4"/>
      </c>
      <c r="P28" s="298">
        <f t="shared" si="8"/>
      </c>
      <c r="Q28" s="311">
        <f t="shared" si="9"/>
      </c>
      <c r="R28" s="300">
        <f t="shared" si="5"/>
      </c>
      <c r="S28" s="298">
        <f t="shared" si="10"/>
      </c>
      <c r="T28" s="312">
        <f t="shared" si="11"/>
      </c>
      <c r="U28" s="302"/>
      <c r="V28" s="302"/>
      <c r="W28" s="302"/>
      <c r="X28" s="302"/>
      <c r="Y28" s="302"/>
      <c r="Z28" s="302"/>
    </row>
    <row r="29" spans="1:26" s="303" customFormat="1" ht="27.75" customHeight="1">
      <c r="A29" s="287"/>
      <c r="B29" s="288"/>
      <c r="C29" s="288"/>
      <c r="D29" s="304"/>
      <c r="E29" s="289"/>
      <c r="F29" s="290"/>
      <c r="G29" s="290"/>
      <c r="H29" s="304"/>
      <c r="I29" s="305"/>
      <c r="J29" s="306">
        <f t="shared" si="1"/>
      </c>
      <c r="K29" s="307">
        <f t="shared" si="6"/>
      </c>
      <c r="L29" s="308">
        <f t="shared" si="2"/>
      </c>
      <c r="M29" s="295">
        <f t="shared" si="3"/>
      </c>
      <c r="N29" s="309">
        <f t="shared" si="7"/>
      </c>
      <c r="O29" s="310">
        <f t="shared" si="4"/>
      </c>
      <c r="P29" s="298">
        <f t="shared" si="8"/>
      </c>
      <c r="Q29" s="311">
        <f t="shared" si="9"/>
      </c>
      <c r="R29" s="300">
        <f t="shared" si="5"/>
      </c>
      <c r="S29" s="298">
        <f t="shared" si="10"/>
      </c>
      <c r="T29" s="312">
        <f t="shared" si="11"/>
      </c>
      <c r="U29" s="302"/>
      <c r="V29" s="302"/>
      <c r="W29" s="302"/>
      <c r="X29" s="302"/>
      <c r="Y29" s="302"/>
      <c r="Z29" s="302"/>
    </row>
    <row r="30" spans="1:26" s="303" customFormat="1" ht="27.75" customHeight="1">
      <c r="A30" s="287"/>
      <c r="B30" s="288"/>
      <c r="C30" s="288"/>
      <c r="D30" s="304"/>
      <c r="E30" s="313"/>
      <c r="F30" s="290"/>
      <c r="G30" s="290"/>
      <c r="H30" s="288"/>
      <c r="I30" s="291"/>
      <c r="J30" s="306">
        <f t="shared" si="1"/>
      </c>
      <c r="K30" s="307">
        <f t="shared" si="6"/>
      </c>
      <c r="L30" s="308">
        <f t="shared" si="2"/>
      </c>
      <c r="M30" s="295">
        <f t="shared" si="3"/>
      </c>
      <c r="N30" s="309">
        <f t="shared" si="7"/>
      </c>
      <c r="O30" s="310">
        <f t="shared" si="4"/>
      </c>
      <c r="P30" s="298">
        <f t="shared" si="8"/>
      </c>
      <c r="Q30" s="311">
        <f t="shared" si="9"/>
      </c>
      <c r="R30" s="300">
        <f t="shared" si="5"/>
      </c>
      <c r="S30" s="298">
        <f t="shared" si="10"/>
      </c>
      <c r="T30" s="312">
        <f t="shared" si="11"/>
      </c>
      <c r="U30" s="302"/>
      <c r="V30" s="302"/>
      <c r="W30" s="302"/>
      <c r="X30" s="302"/>
      <c r="Y30" s="302"/>
      <c r="Z30" s="302"/>
    </row>
    <row r="31" spans="1:26" s="303" customFormat="1" ht="27.75" customHeight="1">
      <c r="A31" s="287"/>
      <c r="B31" s="288"/>
      <c r="C31" s="288"/>
      <c r="D31" s="304"/>
      <c r="E31" s="289"/>
      <c r="F31" s="290"/>
      <c r="G31" s="290"/>
      <c r="H31" s="288"/>
      <c r="I31" s="291"/>
      <c r="J31" s="306">
        <f t="shared" si="1"/>
      </c>
      <c r="K31" s="307">
        <f t="shared" si="6"/>
      </c>
      <c r="L31" s="308">
        <f t="shared" si="2"/>
      </c>
      <c r="M31" s="295">
        <f t="shared" si="3"/>
      </c>
      <c r="N31" s="309">
        <f t="shared" si="7"/>
      </c>
      <c r="O31" s="310">
        <f t="shared" si="4"/>
      </c>
      <c r="P31" s="298">
        <f t="shared" si="8"/>
      </c>
      <c r="Q31" s="311">
        <f t="shared" si="9"/>
      </c>
      <c r="R31" s="300">
        <f t="shared" si="5"/>
      </c>
      <c r="S31" s="298">
        <f t="shared" si="10"/>
      </c>
      <c r="T31" s="312">
        <f t="shared" si="11"/>
      </c>
      <c r="U31" s="302"/>
      <c r="V31" s="302"/>
      <c r="W31" s="302"/>
      <c r="X31" s="302"/>
      <c r="Y31" s="302"/>
      <c r="Z31" s="302"/>
    </row>
    <row r="32" spans="1:26" s="303" customFormat="1" ht="27.75" customHeight="1">
      <c r="A32" s="287"/>
      <c r="B32" s="288"/>
      <c r="C32" s="288"/>
      <c r="D32" s="304"/>
      <c r="E32" s="289"/>
      <c r="F32" s="290"/>
      <c r="G32" s="290"/>
      <c r="H32" s="288"/>
      <c r="I32" s="291"/>
      <c r="J32" s="306">
        <f t="shared" si="1"/>
      </c>
      <c r="K32" s="307">
        <f t="shared" si="6"/>
      </c>
      <c r="L32" s="308">
        <f t="shared" si="2"/>
      </c>
      <c r="M32" s="295">
        <f t="shared" si="3"/>
      </c>
      <c r="N32" s="309">
        <f t="shared" si="7"/>
      </c>
      <c r="O32" s="310">
        <f t="shared" si="4"/>
      </c>
      <c r="P32" s="298">
        <f t="shared" si="8"/>
      </c>
      <c r="Q32" s="311">
        <f t="shared" si="9"/>
      </c>
      <c r="R32" s="300">
        <f t="shared" si="5"/>
      </c>
      <c r="S32" s="298">
        <f t="shared" si="10"/>
      </c>
      <c r="T32" s="312">
        <f t="shared" si="11"/>
      </c>
      <c r="U32" s="302"/>
      <c r="V32" s="302"/>
      <c r="W32" s="302"/>
      <c r="X32" s="302"/>
      <c r="Y32" s="302"/>
      <c r="Z32" s="302"/>
    </row>
    <row r="33" spans="1:26" s="303" customFormat="1" ht="27.75" customHeight="1">
      <c r="A33" s="287"/>
      <c r="B33" s="288"/>
      <c r="C33" s="288"/>
      <c r="D33" s="304"/>
      <c r="E33" s="313"/>
      <c r="F33" s="290"/>
      <c r="G33" s="290"/>
      <c r="H33" s="288"/>
      <c r="I33" s="291"/>
      <c r="J33" s="306">
        <f t="shared" si="1"/>
      </c>
      <c r="K33" s="307">
        <f t="shared" si="6"/>
      </c>
      <c r="L33" s="308">
        <f t="shared" si="2"/>
      </c>
      <c r="M33" s="295">
        <f t="shared" si="3"/>
      </c>
      <c r="N33" s="309">
        <f t="shared" si="7"/>
      </c>
      <c r="O33" s="310">
        <f t="shared" si="4"/>
      </c>
      <c r="P33" s="298">
        <f t="shared" si="8"/>
      </c>
      <c r="Q33" s="311">
        <f t="shared" si="9"/>
      </c>
      <c r="R33" s="300">
        <f t="shared" si="5"/>
      </c>
      <c r="S33" s="298">
        <f t="shared" si="10"/>
      </c>
      <c r="T33" s="312">
        <f t="shared" si="11"/>
      </c>
      <c r="U33" s="302"/>
      <c r="V33" s="302"/>
      <c r="W33" s="302"/>
      <c r="X33" s="302"/>
      <c r="Y33" s="302"/>
      <c r="Z33" s="302"/>
    </row>
    <row r="34" spans="1:26" s="303" customFormat="1" ht="27.75" customHeight="1">
      <c r="A34" s="287"/>
      <c r="B34" s="288"/>
      <c r="C34" s="288"/>
      <c r="D34" s="304"/>
      <c r="E34" s="289"/>
      <c r="F34" s="290"/>
      <c r="G34" s="290"/>
      <c r="H34" s="288"/>
      <c r="I34" s="291"/>
      <c r="J34" s="306">
        <f t="shared" si="1"/>
      </c>
      <c r="K34" s="307">
        <f t="shared" si="6"/>
      </c>
      <c r="L34" s="308">
        <f t="shared" si="2"/>
      </c>
      <c r="M34" s="295">
        <f t="shared" si="3"/>
      </c>
      <c r="N34" s="309">
        <f t="shared" si="7"/>
      </c>
      <c r="O34" s="310">
        <f t="shared" si="4"/>
      </c>
      <c r="P34" s="298">
        <f t="shared" si="8"/>
      </c>
      <c r="Q34" s="311">
        <f t="shared" si="9"/>
      </c>
      <c r="R34" s="300">
        <f t="shared" si="5"/>
      </c>
      <c r="S34" s="298">
        <f t="shared" si="10"/>
      </c>
      <c r="T34" s="312">
        <f t="shared" si="11"/>
      </c>
      <c r="U34" s="302"/>
      <c r="V34" s="302"/>
      <c r="W34" s="302"/>
      <c r="X34" s="302"/>
      <c r="Y34" s="302"/>
      <c r="Z34" s="302"/>
    </row>
    <row r="35" spans="1:26" s="303" customFormat="1" ht="27.75" customHeight="1">
      <c r="A35" s="287"/>
      <c r="B35" s="288"/>
      <c r="C35" s="288"/>
      <c r="D35" s="304"/>
      <c r="E35" s="289"/>
      <c r="F35" s="290"/>
      <c r="G35" s="290"/>
      <c r="H35" s="288"/>
      <c r="I35" s="291"/>
      <c r="J35" s="306">
        <f t="shared" si="1"/>
      </c>
      <c r="K35" s="307">
        <f t="shared" si="6"/>
      </c>
      <c r="L35" s="308">
        <f t="shared" si="2"/>
      </c>
      <c r="M35" s="295">
        <f t="shared" si="3"/>
      </c>
      <c r="N35" s="309">
        <f t="shared" si="7"/>
      </c>
      <c r="O35" s="310">
        <f t="shared" si="4"/>
      </c>
      <c r="P35" s="298">
        <f t="shared" si="8"/>
      </c>
      <c r="Q35" s="311">
        <f t="shared" si="9"/>
      </c>
      <c r="R35" s="300">
        <f t="shared" si="5"/>
      </c>
      <c r="S35" s="298">
        <f t="shared" si="10"/>
      </c>
      <c r="T35" s="312">
        <f t="shared" si="11"/>
      </c>
      <c r="U35" s="302"/>
      <c r="V35" s="302"/>
      <c r="W35" s="302"/>
      <c r="X35" s="302"/>
      <c r="Y35" s="302"/>
      <c r="Z35" s="302"/>
    </row>
    <row r="36" spans="1:26" s="303" customFormat="1" ht="27.75" customHeight="1">
      <c r="A36" s="287"/>
      <c r="B36" s="288"/>
      <c r="C36" s="288"/>
      <c r="D36" s="304"/>
      <c r="E36" s="289"/>
      <c r="F36" s="290"/>
      <c r="G36" s="290"/>
      <c r="H36" s="288"/>
      <c r="I36" s="291"/>
      <c r="J36" s="306">
        <f t="shared" si="1"/>
      </c>
      <c r="K36" s="307">
        <f t="shared" si="6"/>
      </c>
      <c r="L36" s="308">
        <f t="shared" si="2"/>
      </c>
      <c r="M36" s="295">
        <f t="shared" si="3"/>
      </c>
      <c r="N36" s="309">
        <f t="shared" si="7"/>
      </c>
      <c r="O36" s="310">
        <f t="shared" si="4"/>
      </c>
      <c r="P36" s="298">
        <f t="shared" si="8"/>
      </c>
      <c r="Q36" s="311">
        <f t="shared" si="9"/>
      </c>
      <c r="R36" s="300">
        <f t="shared" si="5"/>
      </c>
      <c r="S36" s="298">
        <f t="shared" si="10"/>
      </c>
      <c r="T36" s="312">
        <f t="shared" si="11"/>
      </c>
      <c r="U36" s="302"/>
      <c r="V36" s="302"/>
      <c r="W36" s="302"/>
      <c r="X36" s="302"/>
      <c r="Y36" s="302"/>
      <c r="Z36" s="302"/>
    </row>
    <row r="37" spans="1:26" s="303" customFormat="1" ht="27.75" customHeight="1">
      <c r="A37" s="287"/>
      <c r="B37" s="288"/>
      <c r="C37" s="288"/>
      <c r="D37" s="304"/>
      <c r="E37" s="313"/>
      <c r="F37" s="290"/>
      <c r="G37" s="290"/>
      <c r="H37" s="288"/>
      <c r="I37" s="291"/>
      <c r="J37" s="306">
        <f t="shared" si="1"/>
      </c>
      <c r="K37" s="307">
        <f t="shared" si="6"/>
      </c>
      <c r="L37" s="308">
        <f t="shared" si="2"/>
      </c>
      <c r="M37" s="295">
        <f t="shared" si="3"/>
      </c>
      <c r="N37" s="309">
        <f t="shared" si="7"/>
      </c>
      <c r="O37" s="310">
        <f t="shared" si="4"/>
      </c>
      <c r="P37" s="298">
        <f t="shared" si="8"/>
      </c>
      <c r="Q37" s="311">
        <f t="shared" si="9"/>
      </c>
      <c r="R37" s="300">
        <f t="shared" si="5"/>
      </c>
      <c r="S37" s="298">
        <f t="shared" si="10"/>
      </c>
      <c r="T37" s="312">
        <f t="shared" si="11"/>
      </c>
      <c r="U37" s="302"/>
      <c r="V37" s="302"/>
      <c r="W37" s="302"/>
      <c r="X37" s="302"/>
      <c r="Y37" s="302"/>
      <c r="Z37" s="302"/>
    </row>
    <row r="38" spans="1:26" s="303" customFormat="1" ht="27.75" customHeight="1">
      <c r="A38" s="314"/>
      <c r="B38" s="288"/>
      <c r="C38" s="288"/>
      <c r="D38" s="304"/>
      <c r="E38" s="313"/>
      <c r="F38" s="290"/>
      <c r="G38" s="290"/>
      <c r="H38" s="288"/>
      <c r="I38" s="291"/>
      <c r="J38" s="306">
        <f t="shared" si="1"/>
      </c>
      <c r="K38" s="307">
        <f t="shared" si="6"/>
      </c>
      <c r="L38" s="308">
        <f t="shared" si="2"/>
      </c>
      <c r="M38" s="295">
        <f t="shared" si="3"/>
      </c>
      <c r="N38" s="309">
        <f t="shared" si="7"/>
      </c>
      <c r="O38" s="310">
        <f t="shared" si="4"/>
      </c>
      <c r="P38" s="298">
        <f t="shared" si="8"/>
      </c>
      <c r="Q38" s="311">
        <f t="shared" si="9"/>
      </c>
      <c r="R38" s="300">
        <f t="shared" si="5"/>
      </c>
      <c r="S38" s="298">
        <f t="shared" si="10"/>
      </c>
      <c r="T38" s="312">
        <f t="shared" si="11"/>
      </c>
      <c r="U38" s="302"/>
      <c r="V38" s="302"/>
      <c r="W38" s="302"/>
      <c r="X38" s="302"/>
      <c r="Y38" s="302"/>
      <c r="Z38" s="302"/>
    </row>
    <row r="39" spans="1:26" s="303" customFormat="1" ht="27.75" customHeight="1">
      <c r="A39" s="287"/>
      <c r="B39" s="288"/>
      <c r="C39" s="288"/>
      <c r="D39" s="304"/>
      <c r="E39" s="313"/>
      <c r="F39" s="290"/>
      <c r="G39" s="290"/>
      <c r="H39" s="288"/>
      <c r="I39" s="291"/>
      <c r="J39" s="306">
        <f t="shared" si="1"/>
      </c>
      <c r="K39" s="307">
        <f t="shared" si="6"/>
      </c>
      <c r="L39" s="308">
        <f t="shared" si="2"/>
      </c>
      <c r="M39" s="295">
        <f t="shared" si="3"/>
      </c>
      <c r="N39" s="309">
        <f t="shared" si="7"/>
      </c>
      <c r="O39" s="310">
        <f t="shared" si="4"/>
      </c>
      <c r="P39" s="298">
        <f t="shared" si="8"/>
      </c>
      <c r="Q39" s="311">
        <f t="shared" si="9"/>
      </c>
      <c r="R39" s="300">
        <f t="shared" si="5"/>
      </c>
      <c r="S39" s="298">
        <f t="shared" si="10"/>
      </c>
      <c r="T39" s="312">
        <f t="shared" si="11"/>
      </c>
      <c r="U39" s="302"/>
      <c r="V39" s="302"/>
      <c r="W39" s="302"/>
      <c r="X39" s="302"/>
      <c r="Y39" s="302"/>
      <c r="Z39" s="302"/>
    </row>
    <row r="40" spans="1:26" s="303" customFormat="1" ht="27.75" customHeight="1">
      <c r="A40" s="287"/>
      <c r="B40" s="288"/>
      <c r="C40" s="288"/>
      <c r="D40" s="304"/>
      <c r="E40" s="289"/>
      <c r="F40" s="290"/>
      <c r="G40" s="290"/>
      <c r="H40" s="288"/>
      <c r="I40" s="291"/>
      <c r="J40" s="306">
        <f t="shared" si="1"/>
      </c>
      <c r="K40" s="307">
        <f t="shared" si="6"/>
      </c>
      <c r="L40" s="308">
        <f t="shared" si="2"/>
      </c>
      <c r="M40" s="295">
        <f t="shared" si="3"/>
      </c>
      <c r="N40" s="309">
        <f t="shared" si="7"/>
      </c>
      <c r="O40" s="310">
        <f t="shared" si="4"/>
      </c>
      <c r="P40" s="298">
        <f t="shared" si="8"/>
      </c>
      <c r="Q40" s="311">
        <f t="shared" si="9"/>
      </c>
      <c r="R40" s="300">
        <f t="shared" si="5"/>
      </c>
      <c r="S40" s="298">
        <f t="shared" si="10"/>
      </c>
      <c r="T40" s="312">
        <f t="shared" si="11"/>
      </c>
      <c r="U40" s="302"/>
      <c r="V40" s="302"/>
      <c r="W40" s="302"/>
      <c r="X40" s="302"/>
      <c r="Y40" s="302"/>
      <c r="Z40" s="302"/>
    </row>
    <row r="41" spans="1:26" s="303" customFormat="1" ht="27.75" customHeight="1">
      <c r="A41" s="314"/>
      <c r="B41" s="288"/>
      <c r="C41" s="288"/>
      <c r="D41" s="304"/>
      <c r="E41" s="289"/>
      <c r="F41" s="290"/>
      <c r="G41" s="290"/>
      <c r="H41" s="288"/>
      <c r="I41" s="291"/>
      <c r="J41" s="306">
        <f t="shared" si="1"/>
      </c>
      <c r="K41" s="307">
        <f t="shared" si="6"/>
      </c>
      <c r="L41" s="308">
        <f t="shared" si="2"/>
      </c>
      <c r="M41" s="295">
        <f t="shared" si="3"/>
      </c>
      <c r="N41" s="309">
        <f t="shared" si="7"/>
      </c>
      <c r="O41" s="310">
        <f t="shared" si="4"/>
      </c>
      <c r="P41" s="298">
        <f t="shared" si="8"/>
      </c>
      <c r="Q41" s="311">
        <f t="shared" si="9"/>
      </c>
      <c r="R41" s="300">
        <f t="shared" si="5"/>
      </c>
      <c r="S41" s="298">
        <f t="shared" si="10"/>
      </c>
      <c r="T41" s="312">
        <f t="shared" si="11"/>
      </c>
      <c r="U41" s="302"/>
      <c r="V41" s="302"/>
      <c r="W41" s="302"/>
      <c r="X41" s="302"/>
      <c r="Y41" s="302"/>
      <c r="Z41" s="302"/>
    </row>
    <row r="42" spans="1:26" s="303" customFormat="1" ht="27.75" customHeight="1">
      <c r="A42" s="287"/>
      <c r="B42" s="288"/>
      <c r="C42" s="288"/>
      <c r="D42" s="304"/>
      <c r="E42" s="313"/>
      <c r="F42" s="290"/>
      <c r="G42" s="290"/>
      <c r="H42" s="288"/>
      <c r="I42" s="291"/>
      <c r="J42" s="306">
        <f t="shared" si="1"/>
      </c>
      <c r="K42" s="307">
        <f t="shared" si="6"/>
      </c>
      <c r="L42" s="308">
        <f t="shared" si="2"/>
      </c>
      <c r="M42" s="295">
        <f t="shared" si="3"/>
      </c>
      <c r="N42" s="309">
        <f t="shared" si="7"/>
      </c>
      <c r="O42" s="310">
        <f t="shared" si="4"/>
      </c>
      <c r="P42" s="298">
        <f t="shared" si="8"/>
      </c>
      <c r="Q42" s="311">
        <f t="shared" si="9"/>
      </c>
      <c r="R42" s="300">
        <f t="shared" si="5"/>
      </c>
      <c r="S42" s="298">
        <f t="shared" si="10"/>
      </c>
      <c r="T42" s="312">
        <f t="shared" si="11"/>
      </c>
      <c r="U42" s="302"/>
      <c r="V42" s="302"/>
      <c r="W42" s="302"/>
      <c r="X42" s="302"/>
      <c r="Y42" s="302"/>
      <c r="Z42" s="302"/>
    </row>
    <row r="43" spans="1:26" s="303" customFormat="1" ht="27.75" customHeight="1">
      <c r="A43" s="287"/>
      <c r="B43" s="288"/>
      <c r="C43" s="288"/>
      <c r="D43" s="304"/>
      <c r="E43" s="313"/>
      <c r="F43" s="290"/>
      <c r="G43" s="290"/>
      <c r="H43" s="288"/>
      <c r="I43" s="291"/>
      <c r="J43" s="306">
        <f t="shared" si="1"/>
      </c>
      <c r="K43" s="307">
        <f t="shared" si="6"/>
      </c>
      <c r="L43" s="308">
        <f t="shared" si="2"/>
      </c>
      <c r="M43" s="295">
        <f t="shared" si="3"/>
      </c>
      <c r="N43" s="309">
        <f t="shared" si="7"/>
      </c>
      <c r="O43" s="310">
        <f t="shared" si="4"/>
      </c>
      <c r="P43" s="298">
        <f t="shared" si="8"/>
      </c>
      <c r="Q43" s="311">
        <f t="shared" si="9"/>
      </c>
      <c r="R43" s="300">
        <f t="shared" si="5"/>
      </c>
      <c r="S43" s="298">
        <f t="shared" si="10"/>
      </c>
      <c r="T43" s="312">
        <f t="shared" si="11"/>
      </c>
      <c r="U43" s="302"/>
      <c r="V43" s="302"/>
      <c r="W43" s="302"/>
      <c r="X43" s="302"/>
      <c r="Y43" s="302"/>
      <c r="Z43" s="302"/>
    </row>
    <row r="44" spans="1:26" s="303" customFormat="1" ht="27.75" customHeight="1">
      <c r="A44" s="314"/>
      <c r="B44" s="288"/>
      <c r="C44" s="288"/>
      <c r="D44" s="304"/>
      <c r="E44" s="313"/>
      <c r="F44" s="290"/>
      <c r="G44" s="290"/>
      <c r="H44" s="288"/>
      <c r="I44" s="291"/>
      <c r="J44" s="306">
        <f t="shared" si="1"/>
      </c>
      <c r="K44" s="307">
        <f t="shared" si="6"/>
      </c>
      <c r="L44" s="308">
        <f t="shared" si="2"/>
      </c>
      <c r="M44" s="295">
        <f t="shared" si="3"/>
      </c>
      <c r="N44" s="309">
        <f t="shared" si="7"/>
      </c>
      <c r="O44" s="310">
        <f t="shared" si="4"/>
      </c>
      <c r="P44" s="298">
        <f t="shared" si="8"/>
      </c>
      <c r="Q44" s="311">
        <f t="shared" si="9"/>
      </c>
      <c r="R44" s="300">
        <f t="shared" si="5"/>
      </c>
      <c r="S44" s="298">
        <f t="shared" si="10"/>
      </c>
      <c r="T44" s="312">
        <f t="shared" si="11"/>
      </c>
      <c r="U44" s="302"/>
      <c r="V44" s="302"/>
      <c r="W44" s="302"/>
      <c r="X44" s="302"/>
      <c r="Y44" s="302"/>
      <c r="Z44" s="302"/>
    </row>
    <row r="45" spans="1:26" s="303" customFormat="1" ht="27.75" customHeight="1">
      <c r="A45" s="287"/>
      <c r="B45" s="288"/>
      <c r="C45" s="288"/>
      <c r="D45" s="304"/>
      <c r="E45" s="313"/>
      <c r="F45" s="290"/>
      <c r="G45" s="290"/>
      <c r="H45" s="288"/>
      <c r="I45" s="291"/>
      <c r="J45" s="306">
        <f t="shared" si="1"/>
      </c>
      <c r="K45" s="307">
        <f t="shared" si="6"/>
      </c>
      <c r="L45" s="308">
        <f t="shared" si="2"/>
      </c>
      <c r="M45" s="295">
        <f t="shared" si="3"/>
      </c>
      <c r="N45" s="309">
        <f t="shared" si="7"/>
      </c>
      <c r="O45" s="310">
        <f t="shared" si="4"/>
      </c>
      <c r="P45" s="298">
        <f t="shared" si="8"/>
      </c>
      <c r="Q45" s="311">
        <f t="shared" si="9"/>
      </c>
      <c r="R45" s="300">
        <f t="shared" si="5"/>
      </c>
      <c r="S45" s="298">
        <f t="shared" si="10"/>
      </c>
      <c r="T45" s="312">
        <f t="shared" si="11"/>
      </c>
      <c r="U45" s="302"/>
      <c r="V45" s="302"/>
      <c r="W45" s="302"/>
      <c r="X45" s="302"/>
      <c r="Y45" s="302"/>
      <c r="Z45" s="302"/>
    </row>
    <row r="46" spans="1:26" s="303" customFormat="1" ht="27.75" customHeight="1">
      <c r="A46" s="287"/>
      <c r="B46" s="288"/>
      <c r="C46" s="288"/>
      <c r="D46" s="304"/>
      <c r="E46" s="313"/>
      <c r="F46" s="290"/>
      <c r="G46" s="290"/>
      <c r="H46" s="288"/>
      <c r="I46" s="291"/>
      <c r="J46" s="306">
        <f t="shared" si="1"/>
      </c>
      <c r="K46" s="307">
        <f t="shared" si="6"/>
      </c>
      <c r="L46" s="308">
        <f t="shared" si="2"/>
      </c>
      <c r="M46" s="295">
        <f t="shared" si="3"/>
      </c>
      <c r="N46" s="309">
        <f t="shared" si="7"/>
      </c>
      <c r="O46" s="310">
        <f t="shared" si="4"/>
      </c>
      <c r="P46" s="298">
        <f t="shared" si="8"/>
      </c>
      <c r="Q46" s="311">
        <f t="shared" si="9"/>
      </c>
      <c r="R46" s="300">
        <f t="shared" si="5"/>
      </c>
      <c r="S46" s="298">
        <f t="shared" si="10"/>
      </c>
      <c r="T46" s="312">
        <f t="shared" si="11"/>
      </c>
      <c r="U46" s="302"/>
      <c r="V46" s="302"/>
      <c r="W46" s="302"/>
      <c r="X46" s="302"/>
      <c r="Y46" s="302"/>
      <c r="Z46" s="302"/>
    </row>
    <row r="47" spans="1:26" s="303" customFormat="1" ht="27.75" customHeight="1">
      <c r="A47" s="314"/>
      <c r="B47" s="288"/>
      <c r="C47" s="288"/>
      <c r="D47" s="288"/>
      <c r="E47" s="289"/>
      <c r="F47" s="290"/>
      <c r="G47" s="290"/>
      <c r="H47" s="288"/>
      <c r="I47" s="291"/>
      <c r="J47" s="306">
        <f t="shared" si="1"/>
      </c>
      <c r="K47" s="307">
        <f t="shared" si="6"/>
      </c>
      <c r="L47" s="308">
        <f t="shared" si="2"/>
      </c>
      <c r="M47" s="295">
        <f t="shared" si="3"/>
      </c>
      <c r="N47" s="309">
        <f t="shared" si="7"/>
      </c>
      <c r="O47" s="310">
        <f t="shared" si="4"/>
      </c>
      <c r="P47" s="298">
        <f t="shared" si="8"/>
      </c>
      <c r="Q47" s="311">
        <f t="shared" si="9"/>
      </c>
      <c r="R47" s="300">
        <f t="shared" si="5"/>
      </c>
      <c r="S47" s="298">
        <f t="shared" si="10"/>
      </c>
      <c r="T47" s="312">
        <f t="shared" si="11"/>
      </c>
      <c r="U47" s="302"/>
      <c r="V47" s="302"/>
      <c r="W47" s="302"/>
      <c r="X47" s="302"/>
      <c r="Y47" s="302"/>
      <c r="Z47" s="302"/>
    </row>
    <row r="48" spans="1:26" s="303" customFormat="1" ht="27.75" customHeight="1">
      <c r="A48" s="287"/>
      <c r="B48" s="288"/>
      <c r="C48" s="288"/>
      <c r="D48" s="288"/>
      <c r="E48" s="313"/>
      <c r="F48" s="290"/>
      <c r="G48" s="290"/>
      <c r="H48" s="304"/>
      <c r="I48" s="305"/>
      <c r="J48" s="306">
        <f t="shared" si="1"/>
      </c>
      <c r="K48" s="307">
        <f t="shared" si="6"/>
      </c>
      <c r="L48" s="308">
        <f t="shared" si="2"/>
      </c>
      <c r="M48" s="295">
        <f t="shared" si="3"/>
      </c>
      <c r="N48" s="309">
        <f t="shared" si="7"/>
      </c>
      <c r="O48" s="310">
        <f t="shared" si="4"/>
      </c>
      <c r="P48" s="298">
        <f t="shared" si="8"/>
      </c>
      <c r="Q48" s="311">
        <f t="shared" si="9"/>
      </c>
      <c r="R48" s="300">
        <f t="shared" si="5"/>
      </c>
      <c r="S48" s="298">
        <f t="shared" si="10"/>
      </c>
      <c r="T48" s="312">
        <f t="shared" si="11"/>
      </c>
      <c r="U48" s="302"/>
      <c r="V48" s="302"/>
      <c r="W48" s="302"/>
      <c r="X48" s="302"/>
      <c r="Y48" s="302"/>
      <c r="Z48" s="302"/>
    </row>
    <row r="49" spans="1:26" s="303" customFormat="1" ht="27.75" customHeight="1">
      <c r="A49" s="287"/>
      <c r="B49" s="288"/>
      <c r="C49" s="288"/>
      <c r="D49" s="304"/>
      <c r="E49" s="313"/>
      <c r="F49" s="290"/>
      <c r="G49" s="290"/>
      <c r="H49" s="304"/>
      <c r="I49" s="305"/>
      <c r="J49" s="306">
        <f t="shared" si="1"/>
      </c>
      <c r="K49" s="307">
        <f t="shared" si="6"/>
      </c>
      <c r="L49" s="308">
        <f t="shared" si="2"/>
      </c>
      <c r="M49" s="295">
        <f t="shared" si="3"/>
      </c>
      <c r="N49" s="309">
        <f t="shared" si="7"/>
      </c>
      <c r="O49" s="310">
        <f t="shared" si="4"/>
      </c>
      <c r="P49" s="298">
        <f t="shared" si="8"/>
      </c>
      <c r="Q49" s="311">
        <f t="shared" si="9"/>
      </c>
      <c r="R49" s="300">
        <f t="shared" si="5"/>
      </c>
      <c r="S49" s="298">
        <f t="shared" si="10"/>
      </c>
      <c r="T49" s="312">
        <f t="shared" si="11"/>
      </c>
      <c r="U49" s="302"/>
      <c r="V49" s="302"/>
      <c r="W49" s="302"/>
      <c r="X49" s="302"/>
      <c r="Y49" s="302"/>
      <c r="Z49" s="302"/>
    </row>
    <row r="50" spans="1:26" s="303" customFormat="1" ht="27.75" customHeight="1">
      <c r="A50" s="314"/>
      <c r="B50" s="288"/>
      <c r="C50" s="288"/>
      <c r="D50" s="304"/>
      <c r="E50" s="313"/>
      <c r="F50" s="290"/>
      <c r="G50" s="290"/>
      <c r="H50" s="304"/>
      <c r="I50" s="305"/>
      <c r="J50" s="306">
        <f t="shared" si="1"/>
      </c>
      <c r="K50" s="307">
        <f t="shared" si="6"/>
      </c>
      <c r="L50" s="308">
        <f t="shared" si="2"/>
      </c>
      <c r="M50" s="295">
        <f t="shared" si="3"/>
      </c>
      <c r="N50" s="309">
        <f t="shared" si="7"/>
      </c>
      <c r="O50" s="310">
        <f t="shared" si="4"/>
      </c>
      <c r="P50" s="298">
        <f t="shared" si="8"/>
      </c>
      <c r="Q50" s="311">
        <f t="shared" si="9"/>
      </c>
      <c r="R50" s="300">
        <f t="shared" si="5"/>
      </c>
      <c r="S50" s="298">
        <f t="shared" si="10"/>
      </c>
      <c r="T50" s="312">
        <f t="shared" si="11"/>
      </c>
      <c r="U50" s="302"/>
      <c r="V50" s="302"/>
      <c r="W50" s="302"/>
      <c r="X50" s="302"/>
      <c r="Y50" s="302"/>
      <c r="Z50" s="302"/>
    </row>
    <row r="51" spans="1:26" s="303" customFormat="1" ht="27.75" customHeight="1">
      <c r="A51" s="287"/>
      <c r="B51" s="288"/>
      <c r="C51" s="288"/>
      <c r="D51" s="304"/>
      <c r="E51" s="313"/>
      <c r="F51" s="290"/>
      <c r="G51" s="290"/>
      <c r="H51" s="304"/>
      <c r="I51" s="305"/>
      <c r="J51" s="306">
        <f t="shared" si="1"/>
      </c>
      <c r="K51" s="307">
        <f t="shared" si="6"/>
      </c>
      <c r="L51" s="308">
        <f t="shared" si="2"/>
      </c>
      <c r="M51" s="295">
        <f t="shared" si="3"/>
      </c>
      <c r="N51" s="309">
        <f t="shared" si="7"/>
      </c>
      <c r="O51" s="310">
        <f t="shared" si="4"/>
      </c>
      <c r="P51" s="298">
        <f t="shared" si="8"/>
      </c>
      <c r="Q51" s="311">
        <f t="shared" si="9"/>
      </c>
      <c r="R51" s="300">
        <f t="shared" si="5"/>
      </c>
      <c r="S51" s="298">
        <f t="shared" si="10"/>
      </c>
      <c r="T51" s="312">
        <f t="shared" si="11"/>
      </c>
      <c r="U51" s="302"/>
      <c r="V51" s="302"/>
      <c r="W51" s="302"/>
      <c r="X51" s="302"/>
      <c r="Y51" s="302"/>
      <c r="Z51" s="302"/>
    </row>
    <row r="52" spans="1:26" s="303" customFormat="1" ht="27.75" customHeight="1">
      <c r="A52" s="287"/>
      <c r="B52" s="288"/>
      <c r="C52" s="288"/>
      <c r="D52" s="304"/>
      <c r="E52" s="313"/>
      <c r="F52" s="290"/>
      <c r="G52" s="290"/>
      <c r="H52" s="288"/>
      <c r="I52" s="291"/>
      <c r="J52" s="306">
        <f t="shared" si="1"/>
      </c>
      <c r="K52" s="307">
        <f t="shared" si="6"/>
      </c>
      <c r="L52" s="308">
        <f t="shared" si="2"/>
      </c>
      <c r="M52" s="295">
        <f t="shared" si="3"/>
      </c>
      <c r="N52" s="309">
        <f t="shared" si="7"/>
      </c>
      <c r="O52" s="310">
        <f t="shared" si="4"/>
      </c>
      <c r="P52" s="298">
        <f t="shared" si="8"/>
      </c>
      <c r="Q52" s="311">
        <f t="shared" si="9"/>
      </c>
      <c r="R52" s="300">
        <f t="shared" si="5"/>
      </c>
      <c r="S52" s="298">
        <f t="shared" si="10"/>
      </c>
      <c r="T52" s="312">
        <f t="shared" si="11"/>
      </c>
      <c r="U52" s="302"/>
      <c r="V52" s="302"/>
      <c r="W52" s="302"/>
      <c r="X52" s="302"/>
      <c r="Y52" s="302"/>
      <c r="Z52" s="302"/>
    </row>
    <row r="53" spans="1:26" s="303" customFormat="1" ht="27.75" customHeight="1">
      <c r="A53" s="314"/>
      <c r="B53" s="288"/>
      <c r="C53" s="288"/>
      <c r="D53" s="304"/>
      <c r="E53" s="313"/>
      <c r="F53" s="290"/>
      <c r="G53" s="290"/>
      <c r="H53" s="288"/>
      <c r="I53" s="291"/>
      <c r="J53" s="306">
        <f t="shared" si="1"/>
      </c>
      <c r="K53" s="307">
        <f t="shared" si="6"/>
      </c>
      <c r="L53" s="308">
        <f t="shared" si="2"/>
      </c>
      <c r="M53" s="295">
        <f t="shared" si="3"/>
      </c>
      <c r="N53" s="309">
        <f t="shared" si="7"/>
      </c>
      <c r="O53" s="310">
        <f t="shared" si="4"/>
      </c>
      <c r="P53" s="298">
        <f t="shared" si="8"/>
      </c>
      <c r="Q53" s="311">
        <f t="shared" si="9"/>
      </c>
      <c r="R53" s="300">
        <f t="shared" si="5"/>
      </c>
      <c r="S53" s="298">
        <f t="shared" si="10"/>
      </c>
      <c r="T53" s="312">
        <f t="shared" si="11"/>
      </c>
      <c r="U53" s="302"/>
      <c r="V53" s="302"/>
      <c r="W53" s="302"/>
      <c r="X53" s="302"/>
      <c r="Y53" s="302"/>
      <c r="Z53" s="302"/>
    </row>
    <row r="54" spans="1:26" s="303" customFormat="1" ht="27.75" customHeight="1">
      <c r="A54" s="287"/>
      <c r="B54" s="288"/>
      <c r="C54" s="288"/>
      <c r="D54" s="304"/>
      <c r="E54" s="313"/>
      <c r="F54" s="290"/>
      <c r="G54" s="290"/>
      <c r="H54" s="288"/>
      <c r="I54" s="291"/>
      <c r="J54" s="306">
        <f t="shared" si="1"/>
      </c>
      <c r="K54" s="307">
        <f t="shared" si="6"/>
      </c>
      <c r="L54" s="308">
        <f t="shared" si="2"/>
      </c>
      <c r="M54" s="295">
        <f t="shared" si="3"/>
      </c>
      <c r="N54" s="309">
        <f t="shared" si="7"/>
      </c>
      <c r="O54" s="310">
        <f t="shared" si="4"/>
      </c>
      <c r="P54" s="298">
        <f t="shared" si="8"/>
      </c>
      <c r="Q54" s="311">
        <f t="shared" si="9"/>
      </c>
      <c r="R54" s="300">
        <f t="shared" si="5"/>
      </c>
      <c r="S54" s="298">
        <f t="shared" si="10"/>
      </c>
      <c r="T54" s="312">
        <f t="shared" si="11"/>
      </c>
      <c r="U54" s="302"/>
      <c r="V54" s="302"/>
      <c r="W54" s="302"/>
      <c r="X54" s="302"/>
      <c r="Y54" s="302"/>
      <c r="Z54" s="302"/>
    </row>
    <row r="55" spans="1:26" s="303" customFormat="1" ht="27.75" customHeight="1">
      <c r="A55" s="287"/>
      <c r="B55" s="288"/>
      <c r="C55" s="288"/>
      <c r="D55" s="304"/>
      <c r="E55" s="313"/>
      <c r="F55" s="290"/>
      <c r="G55" s="290"/>
      <c r="H55" s="288"/>
      <c r="I55" s="291"/>
      <c r="J55" s="306">
        <f t="shared" si="1"/>
      </c>
      <c r="K55" s="307">
        <f t="shared" si="6"/>
      </c>
      <c r="L55" s="308">
        <f t="shared" si="2"/>
      </c>
      <c r="M55" s="295">
        <f t="shared" si="3"/>
      </c>
      <c r="N55" s="309">
        <f t="shared" si="7"/>
      </c>
      <c r="O55" s="310">
        <f t="shared" si="4"/>
      </c>
      <c r="P55" s="298">
        <f t="shared" si="8"/>
      </c>
      <c r="Q55" s="311">
        <f t="shared" si="9"/>
      </c>
      <c r="R55" s="300">
        <f t="shared" si="5"/>
      </c>
      <c r="S55" s="298">
        <f t="shared" si="10"/>
      </c>
      <c r="T55" s="312">
        <f t="shared" si="11"/>
      </c>
      <c r="U55" s="302"/>
      <c r="V55" s="302"/>
      <c r="W55" s="302"/>
      <c r="X55" s="302"/>
      <c r="Y55" s="302"/>
      <c r="Z55" s="302"/>
    </row>
    <row r="56" spans="1:26" s="303" customFormat="1" ht="27.75" customHeight="1">
      <c r="A56" s="314"/>
      <c r="B56" s="288"/>
      <c r="C56" s="288"/>
      <c r="D56" s="304"/>
      <c r="E56" s="289"/>
      <c r="F56" s="290"/>
      <c r="G56" s="290"/>
      <c r="H56" s="288"/>
      <c r="I56" s="291"/>
      <c r="J56" s="306">
        <f t="shared" si="1"/>
      </c>
      <c r="K56" s="307">
        <f t="shared" si="6"/>
      </c>
      <c r="L56" s="308">
        <f t="shared" si="2"/>
      </c>
      <c r="M56" s="295">
        <f t="shared" si="3"/>
      </c>
      <c r="N56" s="309">
        <f t="shared" si="7"/>
      </c>
      <c r="O56" s="310">
        <f t="shared" si="4"/>
      </c>
      <c r="P56" s="298">
        <f t="shared" si="8"/>
      </c>
      <c r="Q56" s="311">
        <f t="shared" si="9"/>
      </c>
      <c r="R56" s="300">
        <f t="shared" si="5"/>
      </c>
      <c r="S56" s="298">
        <f t="shared" si="10"/>
      </c>
      <c r="T56" s="312">
        <f t="shared" si="11"/>
      </c>
      <c r="U56" s="302"/>
      <c r="V56" s="302"/>
      <c r="W56" s="302"/>
      <c r="X56" s="302"/>
      <c r="Y56" s="302"/>
      <c r="Z56" s="302"/>
    </row>
    <row r="57" spans="1:26" s="303" customFormat="1" ht="27.75" customHeight="1">
      <c r="A57" s="287"/>
      <c r="B57" s="288"/>
      <c r="C57" s="288"/>
      <c r="D57" s="304"/>
      <c r="E57" s="289"/>
      <c r="F57" s="290"/>
      <c r="G57" s="290"/>
      <c r="H57" s="288"/>
      <c r="I57" s="291"/>
      <c r="J57" s="306">
        <f t="shared" si="1"/>
      </c>
      <c r="K57" s="307">
        <f t="shared" si="6"/>
      </c>
      <c r="L57" s="308">
        <f t="shared" si="2"/>
      </c>
      <c r="M57" s="295">
        <f t="shared" si="3"/>
      </c>
      <c r="N57" s="309">
        <f t="shared" si="7"/>
      </c>
      <c r="O57" s="310">
        <f t="shared" si="4"/>
      </c>
      <c r="P57" s="298">
        <f t="shared" si="8"/>
      </c>
      <c r="Q57" s="311">
        <f t="shared" si="9"/>
      </c>
      <c r="R57" s="300">
        <f t="shared" si="5"/>
      </c>
      <c r="S57" s="298">
        <f t="shared" si="10"/>
      </c>
      <c r="T57" s="312">
        <f t="shared" si="11"/>
      </c>
      <c r="U57" s="302"/>
      <c r="V57" s="302"/>
      <c r="W57" s="302"/>
      <c r="X57" s="302"/>
      <c r="Y57" s="302"/>
      <c r="Z57" s="302"/>
    </row>
    <row r="58" spans="1:26" s="303" customFormat="1" ht="27.75" customHeight="1">
      <c r="A58" s="287"/>
      <c r="B58" s="288"/>
      <c r="C58" s="288"/>
      <c r="D58" s="304"/>
      <c r="E58" s="313"/>
      <c r="F58" s="290"/>
      <c r="G58" s="290"/>
      <c r="H58" s="288"/>
      <c r="I58" s="291"/>
      <c r="J58" s="306">
        <f t="shared" si="1"/>
      </c>
      <c r="K58" s="307">
        <f t="shared" si="6"/>
      </c>
      <c r="L58" s="308">
        <f t="shared" si="2"/>
      </c>
      <c r="M58" s="295">
        <f t="shared" si="3"/>
      </c>
      <c r="N58" s="309">
        <f t="shared" si="7"/>
      </c>
      <c r="O58" s="310">
        <f t="shared" si="4"/>
      </c>
      <c r="P58" s="298">
        <f t="shared" si="8"/>
      </c>
      <c r="Q58" s="311">
        <f t="shared" si="9"/>
      </c>
      <c r="R58" s="300">
        <f t="shared" si="5"/>
      </c>
      <c r="S58" s="298">
        <f t="shared" si="10"/>
      </c>
      <c r="T58" s="312">
        <f t="shared" si="11"/>
      </c>
      <c r="U58" s="302"/>
      <c r="V58" s="302"/>
      <c r="W58" s="302"/>
      <c r="X58" s="302"/>
      <c r="Y58" s="302"/>
      <c r="Z58" s="302"/>
    </row>
    <row r="59" spans="1:26" s="303" customFormat="1" ht="27.75" customHeight="1">
      <c r="A59" s="314"/>
      <c r="B59" s="288"/>
      <c r="C59" s="288"/>
      <c r="D59" s="304"/>
      <c r="E59" s="313"/>
      <c r="F59" s="290"/>
      <c r="G59" s="290"/>
      <c r="H59" s="288"/>
      <c r="I59" s="291"/>
      <c r="J59" s="306">
        <f t="shared" si="1"/>
      </c>
      <c r="K59" s="307">
        <f t="shared" si="6"/>
      </c>
      <c r="L59" s="308">
        <f t="shared" si="2"/>
      </c>
      <c r="M59" s="295">
        <f t="shared" si="3"/>
      </c>
      <c r="N59" s="309">
        <f t="shared" si="7"/>
      </c>
      <c r="O59" s="310">
        <f t="shared" si="4"/>
      </c>
      <c r="P59" s="298">
        <f t="shared" si="8"/>
      </c>
      <c r="Q59" s="311">
        <f t="shared" si="9"/>
      </c>
      <c r="R59" s="300">
        <f t="shared" si="5"/>
      </c>
      <c r="S59" s="298">
        <f t="shared" si="10"/>
      </c>
      <c r="T59" s="312">
        <f t="shared" si="11"/>
      </c>
      <c r="U59" s="302"/>
      <c r="V59" s="302"/>
      <c r="W59" s="302"/>
      <c r="X59" s="302"/>
      <c r="Y59" s="302"/>
      <c r="Z59" s="302"/>
    </row>
    <row r="60" spans="1:26" s="303" customFormat="1" ht="27.75" customHeight="1">
      <c r="A60" s="287"/>
      <c r="B60" s="288"/>
      <c r="C60" s="288"/>
      <c r="D60" s="304"/>
      <c r="E60" s="289"/>
      <c r="F60" s="290"/>
      <c r="G60" s="290"/>
      <c r="H60" s="288"/>
      <c r="I60" s="291"/>
      <c r="J60" s="306">
        <f t="shared" si="1"/>
      </c>
      <c r="K60" s="307">
        <f t="shared" si="6"/>
      </c>
      <c r="L60" s="308">
        <f t="shared" si="2"/>
      </c>
      <c r="M60" s="295">
        <f t="shared" si="3"/>
      </c>
      <c r="N60" s="309">
        <f t="shared" si="7"/>
      </c>
      <c r="O60" s="310">
        <f t="shared" si="4"/>
      </c>
      <c r="P60" s="298">
        <f t="shared" si="8"/>
      </c>
      <c r="Q60" s="311">
        <f t="shared" si="9"/>
      </c>
      <c r="R60" s="300">
        <f t="shared" si="5"/>
      </c>
      <c r="S60" s="298">
        <f t="shared" si="10"/>
      </c>
      <c r="T60" s="312">
        <f t="shared" si="11"/>
      </c>
      <c r="U60" s="302"/>
      <c r="V60" s="302"/>
      <c r="W60" s="302"/>
      <c r="X60" s="302"/>
      <c r="Y60" s="302"/>
      <c r="Z60" s="302"/>
    </row>
    <row r="61" spans="1:26" s="303" customFormat="1" ht="27.75" customHeight="1">
      <c r="A61" s="287"/>
      <c r="B61" s="288"/>
      <c r="C61" s="288"/>
      <c r="D61" s="304"/>
      <c r="E61" s="289"/>
      <c r="F61" s="290"/>
      <c r="G61" s="290"/>
      <c r="H61" s="288"/>
      <c r="I61" s="291"/>
      <c r="J61" s="306">
        <f t="shared" si="1"/>
      </c>
      <c r="K61" s="307">
        <f t="shared" si="6"/>
      </c>
      <c r="L61" s="308">
        <f t="shared" si="2"/>
      </c>
      <c r="M61" s="295">
        <f t="shared" si="3"/>
      </c>
      <c r="N61" s="309">
        <f t="shared" si="7"/>
      </c>
      <c r="O61" s="310">
        <f t="shared" si="4"/>
      </c>
      <c r="P61" s="298">
        <f t="shared" si="8"/>
      </c>
      <c r="Q61" s="311">
        <f t="shared" si="9"/>
      </c>
      <c r="R61" s="300">
        <f t="shared" si="5"/>
      </c>
      <c r="S61" s="298">
        <f t="shared" si="10"/>
      </c>
      <c r="T61" s="312">
        <f t="shared" si="11"/>
      </c>
      <c r="U61" s="302"/>
      <c r="V61" s="302"/>
      <c r="W61" s="302"/>
      <c r="X61" s="302"/>
      <c r="Y61" s="302"/>
      <c r="Z61" s="302"/>
    </row>
    <row r="62" spans="1:26" s="303" customFormat="1" ht="27.75" customHeight="1" thickBot="1">
      <c r="A62" s="315"/>
      <c r="B62" s="316"/>
      <c r="C62" s="316"/>
      <c r="D62" s="317"/>
      <c r="E62" s="318"/>
      <c r="F62" s="319"/>
      <c r="G62" s="319"/>
      <c r="H62" s="316"/>
      <c r="I62" s="320"/>
      <c r="J62" s="321">
        <f t="shared" si="1"/>
      </c>
      <c r="K62" s="322">
        <f t="shared" si="6"/>
      </c>
      <c r="L62" s="323">
        <f t="shared" si="2"/>
      </c>
      <c r="M62" s="324">
        <f t="shared" si="3"/>
      </c>
      <c r="N62" s="325">
        <f t="shared" si="7"/>
      </c>
      <c r="O62" s="326">
        <f t="shared" si="4"/>
      </c>
      <c r="P62" s="327">
        <f t="shared" si="8"/>
      </c>
      <c r="Q62" s="328">
        <f t="shared" si="9"/>
      </c>
      <c r="R62" s="329">
        <f t="shared" si="5"/>
      </c>
      <c r="S62" s="327">
        <f t="shared" si="10"/>
      </c>
      <c r="T62" s="330">
        <f t="shared" si="11"/>
      </c>
      <c r="U62" s="302"/>
      <c r="V62" s="302"/>
      <c r="W62" s="302"/>
      <c r="X62" s="302"/>
      <c r="Y62" s="302"/>
      <c r="Z62" s="302"/>
    </row>
    <row r="63" spans="1:13" s="302" customFormat="1" ht="27.75" customHeight="1">
      <c r="A63" s="331"/>
      <c r="B63" s="331"/>
      <c r="C63" s="331"/>
      <c r="D63" s="331"/>
      <c r="E63" s="331"/>
      <c r="J63" s="331"/>
      <c r="M63" s="331"/>
    </row>
    <row r="64" spans="1:13" s="302" customFormat="1" ht="27.75" customHeight="1">
      <c r="A64" s="331"/>
      <c r="B64" s="331"/>
      <c r="C64" s="331"/>
      <c r="D64" s="331"/>
      <c r="E64" s="331"/>
      <c r="J64" s="331"/>
      <c r="M64" s="331"/>
    </row>
    <row r="65" spans="1:13" s="302" customFormat="1" ht="27.75" customHeight="1">
      <c r="A65" s="331"/>
      <c r="B65" s="331"/>
      <c r="C65" s="331"/>
      <c r="D65" s="331"/>
      <c r="E65" s="331"/>
      <c r="J65" s="331"/>
      <c r="M65" s="331"/>
    </row>
    <row r="66" spans="1:13" s="302" customFormat="1" ht="27.75" customHeight="1">
      <c r="A66" s="331"/>
      <c r="B66" s="331"/>
      <c r="C66" s="331"/>
      <c r="D66" s="331"/>
      <c r="E66" s="331"/>
      <c r="J66" s="331"/>
      <c r="M66" s="331"/>
    </row>
    <row r="67" spans="1:13" s="302" customFormat="1" ht="27.75" customHeight="1">
      <c r="A67" s="331"/>
      <c r="B67" s="331"/>
      <c r="C67" s="331"/>
      <c r="D67" s="331"/>
      <c r="E67" s="331"/>
      <c r="J67" s="331"/>
      <c r="M67" s="331"/>
    </row>
    <row r="68" spans="1:13" s="302" customFormat="1" ht="27.75" customHeight="1">
      <c r="A68" s="331"/>
      <c r="B68" s="331"/>
      <c r="C68" s="331"/>
      <c r="D68" s="331"/>
      <c r="E68" s="331"/>
      <c r="J68" s="331"/>
      <c r="M68" s="331"/>
    </row>
    <row r="69" spans="1:13" s="302" customFormat="1" ht="27.75" customHeight="1">
      <c r="A69" s="331"/>
      <c r="B69" s="331"/>
      <c r="C69" s="331"/>
      <c r="D69" s="331"/>
      <c r="E69" s="331"/>
      <c r="J69" s="331"/>
      <c r="M69" s="331"/>
    </row>
    <row r="70" spans="1:13" s="302" customFormat="1" ht="27.75" customHeight="1">
      <c r="A70" s="331"/>
      <c r="B70" s="331"/>
      <c r="C70" s="331"/>
      <c r="D70" s="331"/>
      <c r="E70" s="331"/>
      <c r="J70" s="331"/>
      <c r="M70" s="331"/>
    </row>
    <row r="71" spans="1:13" s="302" customFormat="1" ht="27.75" customHeight="1">
      <c r="A71" s="331"/>
      <c r="B71" s="331"/>
      <c r="C71" s="331"/>
      <c r="D71" s="331"/>
      <c r="E71" s="331"/>
      <c r="J71" s="331"/>
      <c r="M71" s="331"/>
    </row>
    <row r="72" spans="2:13" s="302" customFormat="1" ht="27.75" customHeight="1">
      <c r="B72" s="331"/>
      <c r="C72" s="331"/>
      <c r="D72" s="331"/>
      <c r="J72" s="331"/>
      <c r="M72" s="331"/>
    </row>
    <row r="73" spans="2:13" s="302" customFormat="1" ht="27.75" customHeight="1">
      <c r="B73" s="331"/>
      <c r="C73" s="331"/>
      <c r="D73" s="331"/>
      <c r="J73" s="331"/>
      <c r="M73" s="331"/>
    </row>
    <row r="74" spans="2:13" s="302" customFormat="1" ht="27.75" customHeight="1">
      <c r="B74" s="331"/>
      <c r="C74" s="331"/>
      <c r="D74" s="331"/>
      <c r="J74" s="331"/>
      <c r="M74" s="331"/>
    </row>
    <row r="75" spans="2:13" s="302" customFormat="1" ht="27.75" customHeight="1">
      <c r="B75" s="331"/>
      <c r="C75" s="331"/>
      <c r="D75" s="331"/>
      <c r="J75" s="331"/>
      <c r="M75" s="331"/>
    </row>
    <row r="76" spans="2:13" s="302" customFormat="1" ht="27.75" customHeight="1">
      <c r="B76" s="331"/>
      <c r="C76" s="331"/>
      <c r="D76" s="331"/>
      <c r="J76" s="331"/>
      <c r="M76" s="331"/>
    </row>
    <row r="77" spans="2:13" s="302" customFormat="1" ht="27.75" customHeight="1">
      <c r="B77" s="331"/>
      <c r="C77" s="331"/>
      <c r="D77" s="331"/>
      <c r="J77" s="331"/>
      <c r="M77" s="331"/>
    </row>
    <row r="78" spans="2:13" s="302" customFormat="1" ht="27.75" customHeight="1">
      <c r="B78" s="331"/>
      <c r="C78" s="331"/>
      <c r="D78" s="331"/>
      <c r="J78" s="331"/>
      <c r="M78" s="331"/>
    </row>
    <row r="79" spans="2:13" s="302" customFormat="1" ht="27.75" customHeight="1">
      <c r="B79" s="331"/>
      <c r="C79" s="331"/>
      <c r="D79" s="331"/>
      <c r="J79" s="331"/>
      <c r="M79" s="331"/>
    </row>
    <row r="80" spans="2:13" s="302" customFormat="1" ht="27.75" customHeight="1">
      <c r="B80" s="331"/>
      <c r="C80" s="331"/>
      <c r="D80" s="331"/>
      <c r="J80" s="331"/>
      <c r="M80" s="331"/>
    </row>
    <row r="81" spans="2:13" s="302" customFormat="1" ht="27.75" customHeight="1">
      <c r="B81" s="331"/>
      <c r="C81" s="331"/>
      <c r="D81" s="331"/>
      <c r="J81" s="331"/>
      <c r="M81" s="331"/>
    </row>
    <row r="82" spans="2:13" s="302" customFormat="1" ht="27.75" customHeight="1">
      <c r="B82" s="331"/>
      <c r="C82" s="331"/>
      <c r="D82" s="331"/>
      <c r="J82" s="331"/>
      <c r="M82" s="331"/>
    </row>
    <row r="83" spans="2:13" s="302" customFormat="1" ht="27.75" customHeight="1">
      <c r="B83" s="331"/>
      <c r="C83" s="331"/>
      <c r="D83" s="331"/>
      <c r="J83" s="331"/>
      <c r="M83" s="331"/>
    </row>
    <row r="84" spans="2:13" s="302" customFormat="1" ht="27.75" customHeight="1">
      <c r="B84" s="331"/>
      <c r="C84" s="331"/>
      <c r="D84" s="331"/>
      <c r="J84" s="331"/>
      <c r="M84" s="331"/>
    </row>
    <row r="85" spans="2:13" s="302" customFormat="1" ht="27.75" customHeight="1">
      <c r="B85" s="331"/>
      <c r="C85" s="331"/>
      <c r="D85" s="331"/>
      <c r="J85" s="331"/>
      <c r="M85" s="331"/>
    </row>
    <row r="86" spans="2:13" s="302" customFormat="1" ht="27.75" customHeight="1">
      <c r="B86" s="331"/>
      <c r="C86" s="331"/>
      <c r="D86" s="331"/>
      <c r="J86" s="331"/>
      <c r="M86" s="331"/>
    </row>
    <row r="87" spans="2:13" s="302" customFormat="1" ht="27.75" customHeight="1">
      <c r="B87" s="331"/>
      <c r="C87" s="331"/>
      <c r="D87" s="331"/>
      <c r="J87" s="331"/>
      <c r="M87" s="331"/>
    </row>
    <row r="88" spans="2:13" s="302" customFormat="1" ht="27.75" customHeight="1">
      <c r="B88" s="331"/>
      <c r="C88" s="331"/>
      <c r="D88" s="331"/>
      <c r="J88" s="331"/>
      <c r="M88" s="331"/>
    </row>
    <row r="89" spans="2:13" s="302" customFormat="1" ht="27.75" customHeight="1">
      <c r="B89" s="331"/>
      <c r="C89" s="331"/>
      <c r="D89" s="331"/>
      <c r="J89" s="331"/>
      <c r="M89" s="331"/>
    </row>
    <row r="90" spans="2:13" s="302" customFormat="1" ht="27.75" customHeight="1">
      <c r="B90" s="331"/>
      <c r="C90" s="331"/>
      <c r="D90" s="331"/>
      <c r="J90" s="331"/>
      <c r="M90" s="331"/>
    </row>
    <row r="91" spans="2:13" s="302" customFormat="1" ht="27.75" customHeight="1">
      <c r="B91" s="331"/>
      <c r="C91" s="331"/>
      <c r="D91" s="331"/>
      <c r="J91" s="331"/>
      <c r="M91" s="331"/>
    </row>
    <row r="92" spans="2:13" s="302" customFormat="1" ht="27.75" customHeight="1">
      <c r="B92" s="331"/>
      <c r="C92" s="331"/>
      <c r="D92" s="331"/>
      <c r="J92" s="331"/>
      <c r="M92" s="331"/>
    </row>
    <row r="93" spans="2:13" s="302" customFormat="1" ht="27.75" customHeight="1">
      <c r="B93" s="331"/>
      <c r="C93" s="331"/>
      <c r="D93" s="331"/>
      <c r="J93" s="331"/>
      <c r="M93" s="331"/>
    </row>
    <row r="94" spans="2:13" s="302" customFormat="1" ht="27.75" customHeight="1">
      <c r="B94" s="331"/>
      <c r="C94" s="331"/>
      <c r="D94" s="331"/>
      <c r="J94" s="331"/>
      <c r="M94" s="331"/>
    </row>
    <row r="95" spans="2:13" s="302" customFormat="1" ht="27.75" customHeight="1">
      <c r="B95" s="331"/>
      <c r="C95" s="331"/>
      <c r="D95" s="331"/>
      <c r="J95" s="331"/>
      <c r="M95" s="331"/>
    </row>
    <row r="96" spans="2:13" s="302" customFormat="1" ht="27.75" customHeight="1">
      <c r="B96" s="331"/>
      <c r="C96" s="331"/>
      <c r="D96" s="331"/>
      <c r="J96" s="331"/>
      <c r="M96" s="331"/>
    </row>
    <row r="97" spans="2:13" s="302" customFormat="1" ht="27.75" customHeight="1">
      <c r="B97" s="331"/>
      <c r="C97" s="331"/>
      <c r="D97" s="331"/>
      <c r="J97" s="331"/>
      <c r="M97" s="331"/>
    </row>
    <row r="98" spans="2:13" s="302" customFormat="1" ht="27.75" customHeight="1">
      <c r="B98" s="331"/>
      <c r="C98" s="331"/>
      <c r="D98" s="331"/>
      <c r="J98" s="331"/>
      <c r="M98" s="331"/>
    </row>
    <row r="99" spans="2:13" s="302" customFormat="1" ht="27.75" customHeight="1">
      <c r="B99" s="331"/>
      <c r="C99" s="331"/>
      <c r="D99" s="331"/>
      <c r="J99" s="331"/>
      <c r="M99" s="331"/>
    </row>
    <row r="100" spans="2:13" s="302" customFormat="1" ht="27.75" customHeight="1">
      <c r="B100" s="331"/>
      <c r="C100" s="331"/>
      <c r="D100" s="331"/>
      <c r="J100" s="331"/>
      <c r="M100" s="331"/>
    </row>
    <row r="101" spans="2:13" s="302" customFormat="1" ht="27.75" customHeight="1">
      <c r="B101" s="331"/>
      <c r="C101" s="331"/>
      <c r="D101" s="331"/>
      <c r="J101" s="331"/>
      <c r="M101" s="331"/>
    </row>
    <row r="102" spans="2:13" s="302" customFormat="1" ht="27.75" customHeight="1">
      <c r="B102" s="331"/>
      <c r="C102" s="331"/>
      <c r="D102" s="331"/>
      <c r="J102" s="331"/>
      <c r="M102" s="331"/>
    </row>
    <row r="103" spans="2:13" s="302" customFormat="1" ht="27.75" customHeight="1">
      <c r="B103" s="331"/>
      <c r="C103" s="331"/>
      <c r="D103" s="331"/>
      <c r="J103" s="331"/>
      <c r="M103" s="331"/>
    </row>
    <row r="104" spans="2:13" s="302" customFormat="1" ht="27.75" customHeight="1">
      <c r="B104" s="331"/>
      <c r="C104" s="331"/>
      <c r="D104" s="331"/>
      <c r="J104" s="331"/>
      <c r="M104" s="331"/>
    </row>
    <row r="105" spans="2:13" s="302" customFormat="1" ht="27.75" customHeight="1">
      <c r="B105" s="331"/>
      <c r="C105" s="331"/>
      <c r="D105" s="331"/>
      <c r="J105" s="331"/>
      <c r="M105" s="331"/>
    </row>
    <row r="106" spans="2:13" s="302" customFormat="1" ht="27.75" customHeight="1">
      <c r="B106" s="331"/>
      <c r="C106" s="331"/>
      <c r="D106" s="331"/>
      <c r="J106" s="331"/>
      <c r="M106" s="331"/>
    </row>
    <row r="107" spans="2:13" s="302" customFormat="1" ht="27.75" customHeight="1">
      <c r="B107" s="331"/>
      <c r="C107" s="331"/>
      <c r="D107" s="331"/>
      <c r="J107" s="331"/>
      <c r="M107" s="331"/>
    </row>
    <row r="108" spans="2:13" s="302" customFormat="1" ht="27.75" customHeight="1">
      <c r="B108" s="331"/>
      <c r="C108" s="331"/>
      <c r="D108" s="331"/>
      <c r="J108" s="331"/>
      <c r="M108" s="331"/>
    </row>
    <row r="109" spans="2:13" s="302" customFormat="1" ht="27.75" customHeight="1">
      <c r="B109" s="331"/>
      <c r="C109" s="331"/>
      <c r="D109" s="331"/>
      <c r="J109" s="331"/>
      <c r="M109" s="331"/>
    </row>
    <row r="110" spans="2:13" s="302" customFormat="1" ht="27.75" customHeight="1">
      <c r="B110" s="331"/>
      <c r="C110" s="331"/>
      <c r="D110" s="331"/>
      <c r="J110" s="331"/>
      <c r="M110" s="331"/>
    </row>
    <row r="111" spans="2:13" s="302" customFormat="1" ht="27.75" customHeight="1">
      <c r="B111" s="331"/>
      <c r="C111" s="331"/>
      <c r="D111" s="331"/>
      <c r="J111" s="331"/>
      <c r="M111" s="331"/>
    </row>
    <row r="112" spans="2:13" s="302" customFormat="1" ht="27.75" customHeight="1">
      <c r="B112" s="331"/>
      <c r="C112" s="331"/>
      <c r="D112" s="331"/>
      <c r="J112" s="331"/>
      <c r="M112" s="331"/>
    </row>
    <row r="113" spans="2:13" s="302" customFormat="1" ht="27.75" customHeight="1">
      <c r="B113" s="331"/>
      <c r="C113" s="331"/>
      <c r="D113" s="331"/>
      <c r="J113" s="331"/>
      <c r="M113" s="331"/>
    </row>
    <row r="114" spans="2:13" s="302" customFormat="1" ht="27.75" customHeight="1">
      <c r="B114" s="331"/>
      <c r="C114" s="331"/>
      <c r="D114" s="331"/>
      <c r="J114" s="331"/>
      <c r="M114" s="331"/>
    </row>
    <row r="115" spans="2:13" s="302" customFormat="1" ht="27.75" customHeight="1">
      <c r="B115" s="331"/>
      <c r="C115" s="331"/>
      <c r="D115" s="331"/>
      <c r="J115" s="331"/>
      <c r="M115" s="331"/>
    </row>
    <row r="116" spans="2:13" s="302" customFormat="1" ht="27.75" customHeight="1">
      <c r="B116" s="331"/>
      <c r="C116" s="331"/>
      <c r="D116" s="331"/>
      <c r="J116" s="331"/>
      <c r="M116" s="331"/>
    </row>
    <row r="117" spans="2:13" s="302" customFormat="1" ht="27.75" customHeight="1">
      <c r="B117" s="331"/>
      <c r="C117" s="331"/>
      <c r="D117" s="331"/>
      <c r="J117" s="331"/>
      <c r="M117" s="331"/>
    </row>
    <row r="118" spans="2:13" s="302" customFormat="1" ht="27.75" customHeight="1">
      <c r="B118" s="331"/>
      <c r="C118" s="331"/>
      <c r="D118" s="331"/>
      <c r="J118" s="331"/>
      <c r="M118" s="331"/>
    </row>
    <row r="119" spans="2:13" s="302" customFormat="1" ht="27.75" customHeight="1">
      <c r="B119" s="331"/>
      <c r="C119" s="331"/>
      <c r="D119" s="331"/>
      <c r="J119" s="331"/>
      <c r="M119" s="331"/>
    </row>
    <row r="120" spans="2:13" s="302" customFormat="1" ht="27.75" customHeight="1">
      <c r="B120" s="331"/>
      <c r="C120" s="331"/>
      <c r="D120" s="331"/>
      <c r="J120" s="331"/>
      <c r="M120" s="331"/>
    </row>
    <row r="121" spans="2:13" s="302" customFormat="1" ht="27.75" customHeight="1">
      <c r="B121" s="331"/>
      <c r="C121" s="331"/>
      <c r="D121" s="331"/>
      <c r="J121" s="331"/>
      <c r="M121" s="331"/>
    </row>
    <row r="122" spans="2:13" s="302" customFormat="1" ht="27.75" customHeight="1">
      <c r="B122" s="331"/>
      <c r="C122" s="331"/>
      <c r="D122" s="331"/>
      <c r="J122" s="331"/>
      <c r="M122" s="331"/>
    </row>
    <row r="123" spans="2:13" s="302" customFormat="1" ht="27.75" customHeight="1">
      <c r="B123" s="331"/>
      <c r="C123" s="331"/>
      <c r="D123" s="331"/>
      <c r="J123" s="331"/>
      <c r="M123" s="331"/>
    </row>
    <row r="124" spans="2:13" s="302" customFormat="1" ht="27.75" customHeight="1">
      <c r="B124" s="331"/>
      <c r="C124" s="331"/>
      <c r="D124" s="331"/>
      <c r="J124" s="331"/>
      <c r="M124" s="331"/>
    </row>
    <row r="125" spans="2:13" s="302" customFormat="1" ht="27.75" customHeight="1">
      <c r="B125" s="331"/>
      <c r="C125" s="331"/>
      <c r="D125" s="331"/>
      <c r="J125" s="331"/>
      <c r="M125" s="331"/>
    </row>
    <row r="126" spans="2:13" s="302" customFormat="1" ht="27.75" customHeight="1">
      <c r="B126" s="331"/>
      <c r="C126" s="331"/>
      <c r="D126" s="331"/>
      <c r="J126" s="331"/>
      <c r="M126" s="331"/>
    </row>
    <row r="127" spans="2:13" s="302" customFormat="1" ht="27.75" customHeight="1">
      <c r="B127" s="331"/>
      <c r="C127" s="331"/>
      <c r="D127" s="331"/>
      <c r="J127" s="331"/>
      <c r="M127" s="331"/>
    </row>
    <row r="128" spans="2:13" s="302" customFormat="1" ht="27.75" customHeight="1">
      <c r="B128" s="331"/>
      <c r="C128" s="331"/>
      <c r="D128" s="331"/>
      <c r="J128" s="331"/>
      <c r="M128" s="331"/>
    </row>
    <row r="129" spans="2:13" s="302" customFormat="1" ht="27.75" customHeight="1">
      <c r="B129" s="331"/>
      <c r="C129" s="331"/>
      <c r="D129" s="331"/>
      <c r="J129" s="331"/>
      <c r="M129" s="331"/>
    </row>
    <row r="130" spans="2:13" s="302" customFormat="1" ht="27.75" customHeight="1">
      <c r="B130" s="331"/>
      <c r="C130" s="331"/>
      <c r="D130" s="331"/>
      <c r="J130" s="331"/>
      <c r="M130" s="331"/>
    </row>
    <row r="131" spans="2:26" s="303" customFormat="1" ht="27.75" customHeight="1">
      <c r="B131" s="230"/>
      <c r="C131" s="230"/>
      <c r="D131" s="230"/>
      <c r="J131" s="230"/>
      <c r="M131" s="230"/>
      <c r="U131" s="302"/>
      <c r="V131" s="302"/>
      <c r="W131" s="302"/>
      <c r="X131" s="302"/>
      <c r="Y131" s="302"/>
      <c r="Z131" s="302"/>
    </row>
    <row r="132" spans="2:26" s="303" customFormat="1" ht="27.75" customHeight="1">
      <c r="B132" s="230"/>
      <c r="C132" s="230"/>
      <c r="D132" s="230"/>
      <c r="J132" s="230"/>
      <c r="M132" s="230"/>
      <c r="U132" s="302"/>
      <c r="V132" s="302"/>
      <c r="W132" s="302"/>
      <c r="X132" s="302"/>
      <c r="Y132" s="302"/>
      <c r="Z132" s="302"/>
    </row>
    <row r="133" ht="27.75" customHeight="1"/>
  </sheetData>
  <sheetProtection/>
  <mergeCells count="26">
    <mergeCell ref="B6:P6"/>
    <mergeCell ref="I11:T11"/>
    <mergeCell ref="F12:G12"/>
    <mergeCell ref="I12:J12"/>
    <mergeCell ref="K12:L12"/>
    <mergeCell ref="M12:N12"/>
    <mergeCell ref="O12:P12"/>
    <mergeCell ref="Q12:R12"/>
    <mergeCell ref="S12:T12"/>
    <mergeCell ref="F18:G18"/>
    <mergeCell ref="A13:B13"/>
    <mergeCell ref="F13:G13"/>
    <mergeCell ref="A14:B14"/>
    <mergeCell ref="F14:G14"/>
    <mergeCell ref="A15:B15"/>
    <mergeCell ref="F15:G15"/>
    <mergeCell ref="A19:B19"/>
    <mergeCell ref="F19:G19"/>
    <mergeCell ref="F20:G20"/>
    <mergeCell ref="F21:H21"/>
    <mergeCell ref="C23:E23"/>
    <mergeCell ref="A16:B16"/>
    <mergeCell ref="F16:G16"/>
    <mergeCell ref="A17:B17"/>
    <mergeCell ref="F17:G17"/>
    <mergeCell ref="A18:B18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2021-02-09T06:22:38Z</cp:lastPrinted>
  <dcterms:created xsi:type="dcterms:W3CDTF">2009-01-18T05:33:15Z</dcterms:created>
  <dcterms:modified xsi:type="dcterms:W3CDTF">2021-02-24T07:24:16Z</dcterms:modified>
  <cp:category/>
  <cp:version/>
  <cp:contentType/>
  <cp:contentStatus/>
</cp:coreProperties>
</file>